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eminaron-my.sharepoint.com/personal/kontakt_seminaron_de/Documents/SEMINARON-Ratgeber-Oktober-2026/Welle-3/Downloads/"/>
    </mc:Choice>
  </mc:AlternateContent>
  <xr:revisionPtr revIDLastSave="0" documentId="11_ED8F548A9A50BABA7A34E92973D118150EB131C1" xr6:coauthVersionLast="47" xr6:coauthVersionMax="47" xr10:uidLastSave="{00000000-0000-0000-0000-000000000000}"/>
  <bookViews>
    <workbookView xWindow="5025" yWindow="5025" windowWidth="28800" windowHeight="15345" activeTab="1" xr2:uid="{00000000-000D-0000-FFFF-FFFF00000000}"/>
  </bookViews>
  <sheets>
    <sheet name="Anleitung" sheetId="1" r:id="rId1"/>
    <sheet name="Jahreskalender" sheetId="2" r:id="rId2"/>
    <sheet name="Januar" sheetId="3" r:id="rId3"/>
    <sheet name="Februar" sheetId="4" r:id="rId4"/>
    <sheet name="März" sheetId="5" r:id="rId5"/>
    <sheet name="April" sheetId="6" r:id="rId6"/>
    <sheet name="Mai" sheetId="7" r:id="rId7"/>
    <sheet name="Juni" sheetId="8" r:id="rId8"/>
    <sheet name="Juli" sheetId="9" r:id="rId9"/>
    <sheet name="August" sheetId="10" r:id="rId10"/>
    <sheet name="September" sheetId="11" r:id="rId11"/>
    <sheet name="Oktober" sheetId="12" r:id="rId12"/>
    <sheet name="November" sheetId="13" r:id="rId13"/>
    <sheet name="Dezember" sheetId="14" r:id="rId14"/>
    <sheet name="Kalenderwochen" sheetId="15" r:id="rId15"/>
    <sheet name="Feiertage" sheetId="16" r:id="rId16"/>
  </sheets>
  <definedNames>
    <definedName name="BT_Datum">Feiertage!$B$30:$B$38</definedName>
    <definedName name="BT_Name">Feiertage!$A$30:$A$38</definedName>
    <definedName name="Bundesland">IF(Jahreskalender!$AA$2="","Nordrhein-Westfalen",Jahreskalender!$AA$2)</definedName>
    <definedName name="_xlnm.Print_Area" localSheetId="0">Anleitung!$A$1:$D$38</definedName>
    <definedName name="_xlnm.Print_Area" localSheetId="5">April!$A$1:$J$28</definedName>
    <definedName name="_xlnm.Print_Area" localSheetId="9">August!$A$1:$J$28</definedName>
    <definedName name="_xlnm.Print_Area" localSheetId="13">Dezember!$A$1:$J$28</definedName>
    <definedName name="_xlnm.Print_Area" localSheetId="3">Februar!$A$1:$J$28</definedName>
    <definedName name="_xlnm.Print_Area" localSheetId="15">Feiertage!$A$1:$V$40</definedName>
    <definedName name="_xlnm.Print_Area" localSheetId="1">Jahreskalender!$A$1:$AI$38</definedName>
    <definedName name="_xlnm.Print_Area" localSheetId="2">Januar!$A$1:$J$28</definedName>
    <definedName name="_xlnm.Print_Area" localSheetId="8">Juli!$A$1:$J$28</definedName>
    <definedName name="_xlnm.Print_Area" localSheetId="7">Juni!$A$1:$J$28</definedName>
    <definedName name="_xlnm.Print_Area" localSheetId="14">Kalenderwochen!$A$1:$F$57</definedName>
    <definedName name="_xlnm.Print_Area" localSheetId="6">Mai!$A$1:$J$28</definedName>
    <definedName name="_xlnm.Print_Area" localSheetId="4">März!$A$1:$J$28</definedName>
    <definedName name="_xlnm.Print_Area" localSheetId="12">November!$A$1:$J$28</definedName>
    <definedName name="_xlnm.Print_Area" localSheetId="11">Oktober!$A$1:$J$28</definedName>
    <definedName name="_xlnm.Print_Area" localSheetId="10">September!$A$1:$J$28</definedName>
    <definedName name="_xlnm.Print_Titles" localSheetId="14">Kalenderwochen!$4:$4</definedName>
    <definedName name="Feiertage_aktiv">Feiertage!$T$5:$T$26</definedName>
    <definedName name="FT_Name">Feiertage!$A$5:$A$26</definedName>
    <definedName name="Jahr">IF(ISNUMBER(Jahreskalender!$AA$1),Jahreskalender!$AA$1,2027)</definedName>
    <definedName name="Ostern">Feiertage!$B$3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" i="16" l="1"/>
  <c r="B37" i="16"/>
  <c r="B36" i="16"/>
  <c r="B35" i="16"/>
  <c r="B33" i="16"/>
  <c r="B32" i="16"/>
  <c r="T26" i="16"/>
  <c r="B26" i="16"/>
  <c r="U26" i="16" s="1"/>
  <c r="B25" i="16"/>
  <c r="B24" i="16"/>
  <c r="T23" i="16"/>
  <c r="B23" i="16"/>
  <c r="U23" i="16" s="1"/>
  <c r="T22" i="16"/>
  <c r="B22" i="16"/>
  <c r="U22" i="16" s="1"/>
  <c r="B21" i="16"/>
  <c r="T20" i="16"/>
  <c r="B20" i="16"/>
  <c r="U20" i="16" s="1"/>
  <c r="B19" i="16"/>
  <c r="T18" i="16"/>
  <c r="B18" i="16"/>
  <c r="U18" i="16" s="1"/>
  <c r="T17" i="16"/>
  <c r="B17" i="16"/>
  <c r="U17" i="16" s="1"/>
  <c r="T16" i="16"/>
  <c r="B16" i="16"/>
  <c r="U16" i="16" s="1"/>
  <c r="T13" i="16"/>
  <c r="B11" i="16"/>
  <c r="T9" i="16"/>
  <c r="T7" i="16"/>
  <c r="B7" i="16"/>
  <c r="U7" i="16" s="1"/>
  <c r="T6" i="16"/>
  <c r="B6" i="16"/>
  <c r="U6" i="16" s="1"/>
  <c r="B5" i="16"/>
  <c r="B3" i="16"/>
  <c r="A2" i="16"/>
  <c r="A1" i="16"/>
  <c r="A57" i="15"/>
  <c r="A56" i="15"/>
  <c r="A55" i="15"/>
  <c r="A54" i="15"/>
  <c r="A53" i="15"/>
  <c r="A52" i="15"/>
  <c r="A51" i="15"/>
  <c r="A50" i="15"/>
  <c r="A49" i="15"/>
  <c r="A48" i="15"/>
  <c r="A47" i="15"/>
  <c r="A46" i="15"/>
  <c r="A45" i="15"/>
  <c r="A44" i="15"/>
  <c r="A43" i="15"/>
  <c r="A42" i="15"/>
  <c r="A41" i="15"/>
  <c r="A40" i="15"/>
  <c r="A39" i="15"/>
  <c r="A38" i="15"/>
  <c r="A37" i="15"/>
  <c r="A36" i="15"/>
  <c r="A35" i="15"/>
  <c r="A34" i="15"/>
  <c r="A33" i="15"/>
  <c r="A32" i="15"/>
  <c r="A31" i="15"/>
  <c r="A30" i="15"/>
  <c r="A29" i="15"/>
  <c r="A28" i="15"/>
  <c r="A27" i="15"/>
  <c r="A26" i="15"/>
  <c r="A25" i="15"/>
  <c r="A24" i="15"/>
  <c r="A23" i="15"/>
  <c r="A22" i="15"/>
  <c r="A21" i="15"/>
  <c r="A20" i="15"/>
  <c r="A19" i="15"/>
  <c r="A18" i="15"/>
  <c r="A17" i="15"/>
  <c r="A16" i="15"/>
  <c r="A15" i="15"/>
  <c r="A14" i="15"/>
  <c r="A13" i="15"/>
  <c r="A12" i="15"/>
  <c r="A11" i="15"/>
  <c r="A10" i="15"/>
  <c r="A9" i="15"/>
  <c r="A8" i="15"/>
  <c r="A7" i="15"/>
  <c r="A6" i="15"/>
  <c r="A5" i="15"/>
  <c r="D4" i="15"/>
  <c r="A2" i="15"/>
  <c r="A1" i="15"/>
  <c r="A28" i="14"/>
  <c r="H24" i="14"/>
  <c r="H25" i="14" s="1"/>
  <c r="G24" i="14"/>
  <c r="G25" i="14" s="1"/>
  <c r="F24" i="14"/>
  <c r="F25" i="14" s="1"/>
  <c r="E24" i="14"/>
  <c r="E25" i="14" s="1"/>
  <c r="D24" i="14"/>
  <c r="D25" i="14" s="1"/>
  <c r="C24" i="14"/>
  <c r="C25" i="14" s="1"/>
  <c r="B24" i="14"/>
  <c r="B25" i="14" s="1"/>
  <c r="A24" i="14"/>
  <c r="H20" i="14"/>
  <c r="H21" i="14" s="1"/>
  <c r="G20" i="14"/>
  <c r="G21" i="14" s="1"/>
  <c r="F20" i="14"/>
  <c r="E20" i="14"/>
  <c r="D20" i="14"/>
  <c r="C20" i="14"/>
  <c r="B20" i="14"/>
  <c r="A20" i="14"/>
  <c r="H16" i="14"/>
  <c r="G16" i="14"/>
  <c r="F16" i="14"/>
  <c r="E16" i="14"/>
  <c r="D16" i="14"/>
  <c r="C16" i="14"/>
  <c r="B16" i="14"/>
  <c r="A16" i="14"/>
  <c r="H12" i="14"/>
  <c r="G12" i="14"/>
  <c r="F12" i="14"/>
  <c r="E12" i="14"/>
  <c r="D12" i="14"/>
  <c r="C12" i="14"/>
  <c r="B12" i="14"/>
  <c r="A12" i="14"/>
  <c r="H8" i="14"/>
  <c r="G8" i="14"/>
  <c r="F8" i="14"/>
  <c r="E8" i="14"/>
  <c r="D8" i="14"/>
  <c r="C8" i="14"/>
  <c r="B8" i="14"/>
  <c r="A8" i="14"/>
  <c r="H4" i="14"/>
  <c r="G4" i="14"/>
  <c r="F4" i="14"/>
  <c r="E4" i="14"/>
  <c r="D4" i="14"/>
  <c r="C4" i="14"/>
  <c r="C5" i="14" s="1"/>
  <c r="B4" i="14"/>
  <c r="B5" i="14" s="1"/>
  <c r="A4" i="14"/>
  <c r="A1" i="14"/>
  <c r="A28" i="13"/>
  <c r="H24" i="13"/>
  <c r="H25" i="13" s="1"/>
  <c r="G24" i="13"/>
  <c r="G25" i="13" s="1"/>
  <c r="F24" i="13"/>
  <c r="F25" i="13" s="1"/>
  <c r="E24" i="13"/>
  <c r="E25" i="13" s="1"/>
  <c r="D24" i="13"/>
  <c r="D25" i="13" s="1"/>
  <c r="C24" i="13"/>
  <c r="C25" i="13" s="1"/>
  <c r="B24" i="13"/>
  <c r="B25" i="13" s="1"/>
  <c r="A24" i="13"/>
  <c r="H20" i="13"/>
  <c r="H21" i="13" s="1"/>
  <c r="G20" i="13"/>
  <c r="G21" i="13" s="1"/>
  <c r="F20" i="13"/>
  <c r="F21" i="13" s="1"/>
  <c r="E20" i="13"/>
  <c r="E21" i="13" s="1"/>
  <c r="D20" i="13"/>
  <c r="D21" i="13" s="1"/>
  <c r="C20" i="13"/>
  <c r="B20" i="13"/>
  <c r="A20" i="13"/>
  <c r="H16" i="13"/>
  <c r="G16" i="13"/>
  <c r="F16" i="13"/>
  <c r="E16" i="13"/>
  <c r="D16" i="13"/>
  <c r="C16" i="13"/>
  <c r="B16" i="13"/>
  <c r="A16" i="13"/>
  <c r="H12" i="13"/>
  <c r="G12" i="13"/>
  <c r="F12" i="13"/>
  <c r="E12" i="13"/>
  <c r="D12" i="13"/>
  <c r="C12" i="13"/>
  <c r="B12" i="13"/>
  <c r="A12" i="13"/>
  <c r="H8" i="13"/>
  <c r="G8" i="13"/>
  <c r="F8" i="13"/>
  <c r="E8" i="13"/>
  <c r="D8" i="13"/>
  <c r="C8" i="13"/>
  <c r="B8" i="13"/>
  <c r="A8" i="13"/>
  <c r="H4" i="13"/>
  <c r="G4" i="13"/>
  <c r="F4" i="13"/>
  <c r="E4" i="13"/>
  <c r="D4" i="13"/>
  <c r="C4" i="13"/>
  <c r="B4" i="13"/>
  <c r="A4" i="13"/>
  <c r="A1" i="13"/>
  <c r="A28" i="12"/>
  <c r="H24" i="12"/>
  <c r="H25" i="12" s="1"/>
  <c r="G24" i="12"/>
  <c r="G25" i="12" s="1"/>
  <c r="F24" i="12"/>
  <c r="F25" i="12" s="1"/>
  <c r="E24" i="12"/>
  <c r="E25" i="12" s="1"/>
  <c r="D24" i="12"/>
  <c r="D25" i="12" s="1"/>
  <c r="C24" i="12"/>
  <c r="C25" i="12" s="1"/>
  <c r="B24" i="12"/>
  <c r="B25" i="12" s="1"/>
  <c r="A24" i="12"/>
  <c r="H20" i="12"/>
  <c r="G20" i="12"/>
  <c r="F20" i="12"/>
  <c r="E20" i="12"/>
  <c r="D20" i="12"/>
  <c r="C20" i="12"/>
  <c r="B20" i="12"/>
  <c r="A20" i="12"/>
  <c r="H16" i="12"/>
  <c r="G16" i="12"/>
  <c r="F16" i="12"/>
  <c r="E16" i="12"/>
  <c r="D16" i="12"/>
  <c r="C16" i="12"/>
  <c r="B16" i="12"/>
  <c r="A16" i="12"/>
  <c r="H12" i="12"/>
  <c r="G12" i="12"/>
  <c r="F12" i="12"/>
  <c r="E12" i="12"/>
  <c r="D12" i="12"/>
  <c r="C12" i="12"/>
  <c r="B12" i="12"/>
  <c r="A12" i="12"/>
  <c r="H8" i="12"/>
  <c r="G8" i="12"/>
  <c r="F8" i="12"/>
  <c r="E8" i="12"/>
  <c r="D8" i="12"/>
  <c r="C8" i="12"/>
  <c r="B8" i="12"/>
  <c r="A8" i="12"/>
  <c r="H4" i="12"/>
  <c r="G4" i="12"/>
  <c r="F4" i="12"/>
  <c r="E4" i="12"/>
  <c r="E5" i="12" s="1"/>
  <c r="D4" i="12"/>
  <c r="D5" i="12" s="1"/>
  <c r="C4" i="12"/>
  <c r="C5" i="12" s="1"/>
  <c r="B4" i="12"/>
  <c r="B5" i="12" s="1"/>
  <c r="A4" i="12"/>
  <c r="A1" i="12"/>
  <c r="A28" i="11"/>
  <c r="H24" i="11"/>
  <c r="H25" i="11" s="1"/>
  <c r="G24" i="11"/>
  <c r="G25" i="11" s="1"/>
  <c r="F24" i="11"/>
  <c r="F25" i="11" s="1"/>
  <c r="E24" i="11"/>
  <c r="E25" i="11" s="1"/>
  <c r="D24" i="11"/>
  <c r="D25" i="11" s="1"/>
  <c r="C24" i="11"/>
  <c r="C25" i="11" s="1"/>
  <c r="B24" i="11"/>
  <c r="B25" i="11" s="1"/>
  <c r="A24" i="11"/>
  <c r="H20" i="11"/>
  <c r="H21" i="11" s="1"/>
  <c r="G20" i="11"/>
  <c r="G21" i="11" s="1"/>
  <c r="F20" i="11"/>
  <c r="F21" i="11" s="1"/>
  <c r="E20" i="11"/>
  <c r="D20" i="11"/>
  <c r="C20" i="11"/>
  <c r="B20" i="11"/>
  <c r="A20" i="11"/>
  <c r="H16" i="11"/>
  <c r="G16" i="11"/>
  <c r="F16" i="11"/>
  <c r="E16" i="11"/>
  <c r="D16" i="11"/>
  <c r="C16" i="11"/>
  <c r="B16" i="11"/>
  <c r="A16" i="11"/>
  <c r="H12" i="11"/>
  <c r="G12" i="11"/>
  <c r="F12" i="11"/>
  <c r="E12" i="11"/>
  <c r="D12" i="11"/>
  <c r="C12" i="11"/>
  <c r="B12" i="11"/>
  <c r="A12" i="11"/>
  <c r="H8" i="11"/>
  <c r="G8" i="11"/>
  <c r="F8" i="11"/>
  <c r="E8" i="11"/>
  <c r="D8" i="11"/>
  <c r="C8" i="11"/>
  <c r="B8" i="11"/>
  <c r="A8" i="11"/>
  <c r="H4" i="11"/>
  <c r="G4" i="11"/>
  <c r="F4" i="11"/>
  <c r="E4" i="11"/>
  <c r="D4" i="11"/>
  <c r="C4" i="11"/>
  <c r="C5" i="11" s="1"/>
  <c r="B4" i="11"/>
  <c r="B5" i="11" s="1"/>
  <c r="A4" i="11"/>
  <c r="A1" i="11"/>
  <c r="A28" i="10"/>
  <c r="H24" i="10"/>
  <c r="H25" i="10" s="1"/>
  <c r="G24" i="10"/>
  <c r="G25" i="10" s="1"/>
  <c r="F24" i="10"/>
  <c r="F25" i="10" s="1"/>
  <c r="E24" i="10"/>
  <c r="E25" i="10" s="1"/>
  <c r="D24" i="10"/>
  <c r="D25" i="10" s="1"/>
  <c r="C24" i="10"/>
  <c r="B24" i="10"/>
  <c r="A24" i="10"/>
  <c r="H20" i="10"/>
  <c r="G20" i="10"/>
  <c r="F20" i="10"/>
  <c r="E20" i="10"/>
  <c r="D20" i="10"/>
  <c r="C20" i="10"/>
  <c r="B20" i="10"/>
  <c r="A20" i="10"/>
  <c r="H16" i="10"/>
  <c r="G16" i="10"/>
  <c r="F16" i="10"/>
  <c r="E16" i="10"/>
  <c r="D16" i="10"/>
  <c r="C16" i="10"/>
  <c r="B16" i="10"/>
  <c r="A16" i="10"/>
  <c r="H12" i="10"/>
  <c r="G12" i="10"/>
  <c r="F12" i="10"/>
  <c r="E12" i="10"/>
  <c r="D12" i="10"/>
  <c r="C12" i="10"/>
  <c r="B12" i="10"/>
  <c r="A12" i="10"/>
  <c r="H8" i="10"/>
  <c r="G8" i="10"/>
  <c r="F8" i="10"/>
  <c r="E8" i="10"/>
  <c r="D8" i="10"/>
  <c r="C8" i="10"/>
  <c r="B8" i="10"/>
  <c r="A8" i="10"/>
  <c r="H4" i="10"/>
  <c r="G4" i="10"/>
  <c r="G5" i="10" s="1"/>
  <c r="F4" i="10"/>
  <c r="F5" i="10" s="1"/>
  <c r="E4" i="10"/>
  <c r="E5" i="10" s="1"/>
  <c r="D4" i="10"/>
  <c r="D5" i="10" s="1"/>
  <c r="C4" i="10"/>
  <c r="C5" i="10" s="1"/>
  <c r="B4" i="10"/>
  <c r="B5" i="10" s="1"/>
  <c r="A4" i="10"/>
  <c r="A1" i="10"/>
  <c r="A28" i="9"/>
  <c r="H24" i="9"/>
  <c r="H25" i="9" s="1"/>
  <c r="G24" i="9"/>
  <c r="G25" i="9" s="1"/>
  <c r="F24" i="9"/>
  <c r="F25" i="9" s="1"/>
  <c r="E24" i="9"/>
  <c r="E25" i="9" s="1"/>
  <c r="D24" i="9"/>
  <c r="D25" i="9" s="1"/>
  <c r="C24" i="9"/>
  <c r="C25" i="9" s="1"/>
  <c r="B24" i="9"/>
  <c r="B25" i="9" s="1"/>
  <c r="A24" i="9"/>
  <c r="H20" i="9"/>
  <c r="H21" i="9" s="1"/>
  <c r="G20" i="9"/>
  <c r="F20" i="9"/>
  <c r="E20" i="9"/>
  <c r="D20" i="9"/>
  <c r="C20" i="9"/>
  <c r="B20" i="9"/>
  <c r="A20" i="9"/>
  <c r="H16" i="9"/>
  <c r="G16" i="9"/>
  <c r="F16" i="9"/>
  <c r="E16" i="9"/>
  <c r="D16" i="9"/>
  <c r="C16" i="9"/>
  <c r="B16" i="9"/>
  <c r="A16" i="9"/>
  <c r="H12" i="9"/>
  <c r="G12" i="9"/>
  <c r="F12" i="9"/>
  <c r="E12" i="9"/>
  <c r="D12" i="9"/>
  <c r="C12" i="9"/>
  <c r="B12" i="9"/>
  <c r="A12" i="9"/>
  <c r="H8" i="9"/>
  <c r="G8" i="9"/>
  <c r="F8" i="9"/>
  <c r="E8" i="9"/>
  <c r="D8" i="9"/>
  <c r="C8" i="9"/>
  <c r="B8" i="9"/>
  <c r="A8" i="9"/>
  <c r="H4" i="9"/>
  <c r="G4" i="9"/>
  <c r="F4" i="9"/>
  <c r="E4" i="9"/>
  <c r="D4" i="9"/>
  <c r="D5" i="9" s="1"/>
  <c r="C4" i="9"/>
  <c r="C5" i="9" s="1"/>
  <c r="B4" i="9"/>
  <c r="B5" i="9" s="1"/>
  <c r="A4" i="9"/>
  <c r="A1" i="9"/>
  <c r="A28" i="8"/>
  <c r="H24" i="8"/>
  <c r="H25" i="8" s="1"/>
  <c r="G24" i="8"/>
  <c r="G25" i="8" s="1"/>
  <c r="F24" i="8"/>
  <c r="F25" i="8" s="1"/>
  <c r="E24" i="8"/>
  <c r="E25" i="8" s="1"/>
  <c r="D24" i="8"/>
  <c r="D25" i="8" s="1"/>
  <c r="C24" i="8"/>
  <c r="C25" i="8" s="1"/>
  <c r="B24" i="8"/>
  <c r="B25" i="8" s="1"/>
  <c r="A24" i="8"/>
  <c r="H20" i="8"/>
  <c r="H21" i="8" s="1"/>
  <c r="G20" i="8"/>
  <c r="G21" i="8" s="1"/>
  <c r="F20" i="8"/>
  <c r="F21" i="8" s="1"/>
  <c r="E20" i="8"/>
  <c r="E21" i="8" s="1"/>
  <c r="D20" i="8"/>
  <c r="C20" i="8"/>
  <c r="B20" i="8"/>
  <c r="A20" i="8"/>
  <c r="H16" i="8"/>
  <c r="G16" i="8"/>
  <c r="F16" i="8"/>
  <c r="E16" i="8"/>
  <c r="D16" i="8"/>
  <c r="C16" i="8"/>
  <c r="B16" i="8"/>
  <c r="A16" i="8"/>
  <c r="H12" i="8"/>
  <c r="G12" i="8"/>
  <c r="F12" i="8"/>
  <c r="E12" i="8"/>
  <c r="D12" i="8"/>
  <c r="C12" i="8"/>
  <c r="B12" i="8"/>
  <c r="A12" i="8"/>
  <c r="H8" i="8"/>
  <c r="G8" i="8"/>
  <c r="F8" i="8"/>
  <c r="E8" i="8"/>
  <c r="D8" i="8"/>
  <c r="C8" i="8"/>
  <c r="B8" i="8"/>
  <c r="A8" i="8"/>
  <c r="H4" i="8"/>
  <c r="G4" i="8"/>
  <c r="F4" i="8"/>
  <c r="E4" i="8"/>
  <c r="D4" i="8"/>
  <c r="C4" i="8"/>
  <c r="B4" i="8"/>
  <c r="B5" i="8" s="1"/>
  <c r="A4" i="8"/>
  <c r="A1" i="8"/>
  <c r="A28" i="7"/>
  <c r="H24" i="7"/>
  <c r="H25" i="7" s="1"/>
  <c r="G24" i="7"/>
  <c r="G25" i="7" s="1"/>
  <c r="F24" i="7"/>
  <c r="F25" i="7" s="1"/>
  <c r="E24" i="7"/>
  <c r="E25" i="7" s="1"/>
  <c r="D24" i="7"/>
  <c r="D25" i="7" s="1"/>
  <c r="C24" i="7"/>
  <c r="C25" i="7" s="1"/>
  <c r="B24" i="7"/>
  <c r="A24" i="7"/>
  <c r="H20" i="7"/>
  <c r="G20" i="7"/>
  <c r="F20" i="7"/>
  <c r="E20" i="7"/>
  <c r="D20" i="7"/>
  <c r="C20" i="7"/>
  <c r="B20" i="7"/>
  <c r="A20" i="7"/>
  <c r="H16" i="7"/>
  <c r="G16" i="7"/>
  <c r="F16" i="7"/>
  <c r="E16" i="7"/>
  <c r="D16" i="7"/>
  <c r="C16" i="7"/>
  <c r="B16" i="7"/>
  <c r="A16" i="7"/>
  <c r="H12" i="7"/>
  <c r="G12" i="7"/>
  <c r="F12" i="7"/>
  <c r="E12" i="7"/>
  <c r="D12" i="7"/>
  <c r="C12" i="7"/>
  <c r="B12" i="7"/>
  <c r="A12" i="7"/>
  <c r="H8" i="7"/>
  <c r="G8" i="7"/>
  <c r="F8" i="7"/>
  <c r="E8" i="7"/>
  <c r="D8" i="7"/>
  <c r="C8" i="7"/>
  <c r="B8" i="7"/>
  <c r="A8" i="7"/>
  <c r="H4" i="7"/>
  <c r="G4" i="7"/>
  <c r="F4" i="7"/>
  <c r="F5" i="7" s="1"/>
  <c r="E4" i="7"/>
  <c r="E5" i="7" s="1"/>
  <c r="D4" i="7"/>
  <c r="D5" i="7" s="1"/>
  <c r="C4" i="7"/>
  <c r="C5" i="7" s="1"/>
  <c r="B4" i="7"/>
  <c r="B5" i="7" s="1"/>
  <c r="A4" i="7"/>
  <c r="A1" i="7"/>
  <c r="A28" i="6"/>
  <c r="H24" i="6"/>
  <c r="H25" i="6" s="1"/>
  <c r="G24" i="6"/>
  <c r="G25" i="6" s="1"/>
  <c r="F24" i="6"/>
  <c r="F25" i="6" s="1"/>
  <c r="E24" i="6"/>
  <c r="E25" i="6" s="1"/>
  <c r="D24" i="6"/>
  <c r="D25" i="6" s="1"/>
  <c r="C24" i="6"/>
  <c r="C25" i="6" s="1"/>
  <c r="B24" i="6"/>
  <c r="B25" i="6" s="1"/>
  <c r="A24" i="6"/>
  <c r="H20" i="6"/>
  <c r="H21" i="6" s="1"/>
  <c r="G20" i="6"/>
  <c r="G21" i="6" s="1"/>
  <c r="F20" i="6"/>
  <c r="E20" i="6"/>
  <c r="D20" i="6"/>
  <c r="C20" i="6"/>
  <c r="B20" i="6"/>
  <c r="A20" i="6"/>
  <c r="H16" i="6"/>
  <c r="G16" i="6"/>
  <c r="F16" i="6"/>
  <c r="E16" i="6"/>
  <c r="D16" i="6"/>
  <c r="C16" i="6"/>
  <c r="B16" i="6"/>
  <c r="A16" i="6"/>
  <c r="H12" i="6"/>
  <c r="G12" i="6"/>
  <c r="F12" i="6"/>
  <c r="E12" i="6"/>
  <c r="D12" i="6"/>
  <c r="C12" i="6"/>
  <c r="B12" i="6"/>
  <c r="A12" i="6"/>
  <c r="H8" i="6"/>
  <c r="G8" i="6"/>
  <c r="F8" i="6"/>
  <c r="E8" i="6"/>
  <c r="D8" i="6"/>
  <c r="C8" i="6"/>
  <c r="B8" i="6"/>
  <c r="A8" i="6"/>
  <c r="H4" i="6"/>
  <c r="G4" i="6"/>
  <c r="F4" i="6"/>
  <c r="E4" i="6"/>
  <c r="D4" i="6"/>
  <c r="D5" i="6" s="1"/>
  <c r="C4" i="6"/>
  <c r="C5" i="6" s="1"/>
  <c r="B4" i="6"/>
  <c r="B5" i="6" s="1"/>
  <c r="A4" i="6"/>
  <c r="A1" i="6"/>
  <c r="A28" i="5"/>
  <c r="H24" i="5"/>
  <c r="H25" i="5" s="1"/>
  <c r="G24" i="5"/>
  <c r="G25" i="5" s="1"/>
  <c r="F24" i="5"/>
  <c r="F25" i="5" s="1"/>
  <c r="E24" i="5"/>
  <c r="E25" i="5" s="1"/>
  <c r="D24" i="5"/>
  <c r="D25" i="5" s="1"/>
  <c r="C24" i="5"/>
  <c r="C25" i="5" s="1"/>
  <c r="B24" i="5"/>
  <c r="B25" i="5" s="1"/>
  <c r="A24" i="5"/>
  <c r="H20" i="5"/>
  <c r="H21" i="5" s="1"/>
  <c r="G20" i="5"/>
  <c r="G21" i="5" s="1"/>
  <c r="F20" i="5"/>
  <c r="F21" i="5" s="1"/>
  <c r="E20" i="5"/>
  <c r="E21" i="5" s="1"/>
  <c r="D20" i="5"/>
  <c r="C20" i="5"/>
  <c r="B20" i="5"/>
  <c r="A20" i="5"/>
  <c r="H16" i="5"/>
  <c r="G16" i="5"/>
  <c r="F16" i="5"/>
  <c r="E16" i="5"/>
  <c r="D16" i="5"/>
  <c r="C16" i="5"/>
  <c r="B16" i="5"/>
  <c r="A16" i="5"/>
  <c r="H12" i="5"/>
  <c r="G12" i="5"/>
  <c r="F12" i="5"/>
  <c r="E12" i="5"/>
  <c r="D12" i="5"/>
  <c r="C12" i="5"/>
  <c r="B12" i="5"/>
  <c r="A12" i="5"/>
  <c r="H8" i="5"/>
  <c r="G8" i="5"/>
  <c r="F8" i="5"/>
  <c r="E8" i="5"/>
  <c r="D8" i="5"/>
  <c r="C8" i="5"/>
  <c r="B8" i="5"/>
  <c r="A8" i="5"/>
  <c r="H4" i="5"/>
  <c r="G4" i="5"/>
  <c r="F4" i="5"/>
  <c r="E4" i="5"/>
  <c r="D4" i="5"/>
  <c r="C4" i="5"/>
  <c r="B4" i="5"/>
  <c r="A4" i="5"/>
  <c r="A1" i="5"/>
  <c r="A28" i="4"/>
  <c r="H24" i="4"/>
  <c r="H25" i="4" s="1"/>
  <c r="G24" i="4"/>
  <c r="G25" i="4" s="1"/>
  <c r="F24" i="4"/>
  <c r="F25" i="4" s="1"/>
  <c r="E24" i="4"/>
  <c r="E25" i="4" s="1"/>
  <c r="D24" i="4"/>
  <c r="D25" i="4" s="1"/>
  <c r="C24" i="4"/>
  <c r="C25" i="4" s="1"/>
  <c r="B24" i="4"/>
  <c r="B25" i="4" s="1"/>
  <c r="A24" i="4"/>
  <c r="H20" i="4"/>
  <c r="H21" i="4" s="1"/>
  <c r="G20" i="4"/>
  <c r="G21" i="4" s="1"/>
  <c r="F20" i="4"/>
  <c r="F21" i="4" s="1"/>
  <c r="E20" i="4"/>
  <c r="E21" i="4" s="1"/>
  <c r="D20" i="4"/>
  <c r="D21" i="4" s="1"/>
  <c r="C20" i="4"/>
  <c r="C21" i="4" s="1"/>
  <c r="B20" i="4"/>
  <c r="B21" i="4" s="1"/>
  <c r="A20" i="4"/>
  <c r="H16" i="4"/>
  <c r="G16" i="4"/>
  <c r="F16" i="4"/>
  <c r="E16" i="4"/>
  <c r="D16" i="4"/>
  <c r="C16" i="4"/>
  <c r="B16" i="4"/>
  <c r="A16" i="4"/>
  <c r="H12" i="4"/>
  <c r="G12" i="4"/>
  <c r="F12" i="4"/>
  <c r="E12" i="4"/>
  <c r="D12" i="4"/>
  <c r="C12" i="4"/>
  <c r="B12" i="4"/>
  <c r="A12" i="4"/>
  <c r="H8" i="4"/>
  <c r="G8" i="4"/>
  <c r="F8" i="4"/>
  <c r="E8" i="4"/>
  <c r="D8" i="4"/>
  <c r="C8" i="4"/>
  <c r="B8" i="4"/>
  <c r="A8" i="4"/>
  <c r="H4" i="4"/>
  <c r="G4" i="4"/>
  <c r="F4" i="4"/>
  <c r="E4" i="4"/>
  <c r="D4" i="4"/>
  <c r="C4" i="4"/>
  <c r="B4" i="4"/>
  <c r="A4" i="4"/>
  <c r="A1" i="4"/>
  <c r="A28" i="3"/>
  <c r="H24" i="3"/>
  <c r="H25" i="3" s="1"/>
  <c r="G24" i="3"/>
  <c r="G25" i="3" s="1"/>
  <c r="F24" i="3"/>
  <c r="F25" i="3" s="1"/>
  <c r="E24" i="3"/>
  <c r="E25" i="3" s="1"/>
  <c r="D24" i="3"/>
  <c r="D25" i="3" s="1"/>
  <c r="C24" i="3"/>
  <c r="C25" i="3" s="1"/>
  <c r="B24" i="3"/>
  <c r="B25" i="3" s="1"/>
  <c r="A24" i="3"/>
  <c r="H20" i="3"/>
  <c r="G20" i="3"/>
  <c r="F20" i="3"/>
  <c r="E20" i="3"/>
  <c r="D20" i="3"/>
  <c r="C20" i="3"/>
  <c r="B20" i="3"/>
  <c r="A20" i="3"/>
  <c r="H16" i="3"/>
  <c r="G16" i="3"/>
  <c r="F16" i="3"/>
  <c r="E16" i="3"/>
  <c r="D16" i="3"/>
  <c r="C16" i="3"/>
  <c r="B16" i="3"/>
  <c r="A16" i="3"/>
  <c r="H12" i="3"/>
  <c r="G12" i="3"/>
  <c r="F12" i="3"/>
  <c r="E12" i="3"/>
  <c r="D12" i="3"/>
  <c r="C12" i="3"/>
  <c r="B12" i="3"/>
  <c r="A12" i="3"/>
  <c r="H8" i="3"/>
  <c r="G8" i="3"/>
  <c r="F8" i="3"/>
  <c r="E8" i="3"/>
  <c r="D8" i="3"/>
  <c r="C8" i="3"/>
  <c r="B8" i="3"/>
  <c r="A8" i="3"/>
  <c r="H4" i="3"/>
  <c r="G4" i="3"/>
  <c r="F4" i="3"/>
  <c r="E4" i="3"/>
  <c r="E5" i="3" s="1"/>
  <c r="D4" i="3"/>
  <c r="D5" i="3" s="1"/>
  <c r="C4" i="3"/>
  <c r="C5" i="3" s="1"/>
  <c r="B4" i="3"/>
  <c r="B5" i="3" s="1"/>
  <c r="A4" i="3"/>
  <c r="A1" i="3"/>
  <c r="C18" i="1"/>
  <c r="C15" i="1"/>
  <c r="C14" i="1"/>
  <c r="C12" i="1"/>
  <c r="C11" i="1"/>
  <c r="C10" i="1"/>
  <c r="C7" i="1"/>
  <c r="C6" i="1"/>
  <c r="B2" i="1"/>
  <c r="A31" i="2"/>
  <c r="AI29" i="2"/>
  <c r="AH29" i="2"/>
  <c r="AG29" i="2"/>
  <c r="AF29" i="2"/>
  <c r="AE29" i="2"/>
  <c r="AD29" i="2"/>
  <c r="AC29" i="2"/>
  <c r="AB29" i="2"/>
  <c r="Z29" i="2"/>
  <c r="Y29" i="2"/>
  <c r="X29" i="2"/>
  <c r="W29" i="2"/>
  <c r="V29" i="2"/>
  <c r="U29" i="2"/>
  <c r="T29" i="2"/>
  <c r="S29" i="2"/>
  <c r="Q29" i="2"/>
  <c r="P29" i="2"/>
  <c r="O29" i="2"/>
  <c r="N29" i="2"/>
  <c r="M29" i="2"/>
  <c r="L29" i="2"/>
  <c r="K29" i="2"/>
  <c r="J29" i="2"/>
  <c r="H29" i="2"/>
  <c r="G29" i="2"/>
  <c r="F29" i="2"/>
  <c r="E29" i="2"/>
  <c r="D29" i="2"/>
  <c r="C29" i="2"/>
  <c r="B29" i="2"/>
  <c r="A29" i="2"/>
  <c r="AI28" i="2"/>
  <c r="AH28" i="2"/>
  <c r="AG28" i="2"/>
  <c r="AF28" i="2"/>
  <c r="AE28" i="2"/>
  <c r="AD28" i="2"/>
  <c r="AC28" i="2"/>
  <c r="AB28" i="2"/>
  <c r="Z28" i="2"/>
  <c r="Y28" i="2"/>
  <c r="X28" i="2"/>
  <c r="W28" i="2"/>
  <c r="V28" i="2"/>
  <c r="U28" i="2"/>
  <c r="T28" i="2"/>
  <c r="S28" i="2"/>
  <c r="Q28" i="2"/>
  <c r="P28" i="2"/>
  <c r="O28" i="2"/>
  <c r="N28" i="2"/>
  <c r="M28" i="2"/>
  <c r="L28" i="2"/>
  <c r="K28" i="2"/>
  <c r="J28" i="2"/>
  <c r="H28" i="2"/>
  <c r="G28" i="2"/>
  <c r="F28" i="2"/>
  <c r="E28" i="2"/>
  <c r="D28" i="2"/>
  <c r="C28" i="2"/>
  <c r="B28" i="2"/>
  <c r="A28" i="2"/>
  <c r="AI27" i="2"/>
  <c r="AH27" i="2"/>
  <c r="AG27" i="2"/>
  <c r="AF27" i="2"/>
  <c r="AE27" i="2"/>
  <c r="AD27" i="2"/>
  <c r="AC27" i="2"/>
  <c r="AB27" i="2"/>
  <c r="Z27" i="2"/>
  <c r="Y27" i="2"/>
  <c r="X27" i="2"/>
  <c r="W27" i="2"/>
  <c r="V27" i="2"/>
  <c r="U27" i="2"/>
  <c r="T27" i="2"/>
  <c r="S27" i="2"/>
  <c r="Q27" i="2"/>
  <c r="P27" i="2"/>
  <c r="O27" i="2"/>
  <c r="N27" i="2"/>
  <c r="M27" i="2"/>
  <c r="L27" i="2"/>
  <c r="K27" i="2"/>
  <c r="J27" i="2"/>
  <c r="H27" i="2"/>
  <c r="G27" i="2"/>
  <c r="F27" i="2"/>
  <c r="E27" i="2"/>
  <c r="D27" i="2"/>
  <c r="C27" i="2"/>
  <c r="B27" i="2"/>
  <c r="A27" i="2"/>
  <c r="AI26" i="2"/>
  <c r="AH26" i="2"/>
  <c r="AG26" i="2"/>
  <c r="AF26" i="2"/>
  <c r="AE26" i="2"/>
  <c r="AD26" i="2"/>
  <c r="AC26" i="2"/>
  <c r="AB26" i="2"/>
  <c r="Z26" i="2"/>
  <c r="Y26" i="2"/>
  <c r="X26" i="2"/>
  <c r="W26" i="2"/>
  <c r="V26" i="2"/>
  <c r="U26" i="2"/>
  <c r="T26" i="2"/>
  <c r="S26" i="2"/>
  <c r="Q26" i="2"/>
  <c r="P26" i="2"/>
  <c r="O26" i="2"/>
  <c r="N26" i="2"/>
  <c r="M26" i="2"/>
  <c r="L26" i="2"/>
  <c r="K26" i="2"/>
  <c r="J26" i="2"/>
  <c r="H26" i="2"/>
  <c r="G26" i="2"/>
  <c r="F26" i="2"/>
  <c r="E26" i="2"/>
  <c r="D26" i="2"/>
  <c r="C26" i="2"/>
  <c r="B26" i="2"/>
  <c r="A26" i="2"/>
  <c r="AI25" i="2"/>
  <c r="AH25" i="2"/>
  <c r="AG25" i="2"/>
  <c r="AF25" i="2"/>
  <c r="AE25" i="2"/>
  <c r="AD25" i="2"/>
  <c r="AC25" i="2"/>
  <c r="AB25" i="2"/>
  <c r="Z25" i="2"/>
  <c r="Y25" i="2"/>
  <c r="X25" i="2"/>
  <c r="W25" i="2"/>
  <c r="V25" i="2"/>
  <c r="U25" i="2"/>
  <c r="T25" i="2"/>
  <c r="S25" i="2"/>
  <c r="Q25" i="2"/>
  <c r="P25" i="2"/>
  <c r="O25" i="2"/>
  <c r="N25" i="2"/>
  <c r="M25" i="2"/>
  <c r="L25" i="2"/>
  <c r="K25" i="2"/>
  <c r="J25" i="2"/>
  <c r="H25" i="2"/>
  <c r="G25" i="2"/>
  <c r="F25" i="2"/>
  <c r="E25" i="2"/>
  <c r="D25" i="2"/>
  <c r="C25" i="2"/>
  <c r="B25" i="2"/>
  <c r="A25" i="2"/>
  <c r="AI24" i="2"/>
  <c r="AH24" i="2"/>
  <c r="AG24" i="2"/>
  <c r="AF24" i="2"/>
  <c r="AE24" i="2"/>
  <c r="AD24" i="2"/>
  <c r="AC24" i="2"/>
  <c r="AB24" i="2"/>
  <c r="Z24" i="2"/>
  <c r="Y24" i="2"/>
  <c r="X24" i="2"/>
  <c r="W24" i="2"/>
  <c r="V24" i="2"/>
  <c r="U24" i="2"/>
  <c r="T24" i="2"/>
  <c r="S24" i="2"/>
  <c r="Q24" i="2"/>
  <c r="P24" i="2"/>
  <c r="O24" i="2"/>
  <c r="N24" i="2"/>
  <c r="M24" i="2"/>
  <c r="L24" i="2"/>
  <c r="K24" i="2"/>
  <c r="J24" i="2"/>
  <c r="H24" i="2"/>
  <c r="G24" i="2"/>
  <c r="F24" i="2"/>
  <c r="E24" i="2"/>
  <c r="D24" i="2"/>
  <c r="C24" i="2"/>
  <c r="B24" i="2"/>
  <c r="A24" i="2"/>
  <c r="AI20" i="2"/>
  <c r="AH20" i="2"/>
  <c r="AG20" i="2"/>
  <c r="AF20" i="2"/>
  <c r="AE20" i="2"/>
  <c r="AD20" i="2"/>
  <c r="AC20" i="2"/>
  <c r="AB20" i="2"/>
  <c r="Z20" i="2"/>
  <c r="Y20" i="2"/>
  <c r="X20" i="2"/>
  <c r="W20" i="2"/>
  <c r="V20" i="2"/>
  <c r="U20" i="2"/>
  <c r="T20" i="2"/>
  <c r="S20" i="2"/>
  <c r="Q20" i="2"/>
  <c r="P20" i="2"/>
  <c r="O20" i="2"/>
  <c r="N20" i="2"/>
  <c r="M20" i="2"/>
  <c r="L20" i="2"/>
  <c r="K20" i="2"/>
  <c r="J20" i="2"/>
  <c r="H20" i="2"/>
  <c r="G20" i="2"/>
  <c r="F20" i="2"/>
  <c r="E20" i="2"/>
  <c r="D20" i="2"/>
  <c r="C20" i="2"/>
  <c r="B20" i="2"/>
  <c r="A20" i="2"/>
  <c r="AI19" i="2"/>
  <c r="AH19" i="2"/>
  <c r="AG19" i="2"/>
  <c r="AF19" i="2"/>
  <c r="AE19" i="2"/>
  <c r="AD19" i="2"/>
  <c r="AC19" i="2"/>
  <c r="AB19" i="2"/>
  <c r="Z19" i="2"/>
  <c r="Y19" i="2"/>
  <c r="X19" i="2"/>
  <c r="W19" i="2"/>
  <c r="V19" i="2"/>
  <c r="U19" i="2"/>
  <c r="T19" i="2"/>
  <c r="S19" i="2"/>
  <c r="Q19" i="2"/>
  <c r="P19" i="2"/>
  <c r="O19" i="2"/>
  <c r="N19" i="2"/>
  <c r="M19" i="2"/>
  <c r="L19" i="2"/>
  <c r="K19" i="2"/>
  <c r="J19" i="2"/>
  <c r="H19" i="2"/>
  <c r="G19" i="2"/>
  <c r="F19" i="2"/>
  <c r="E19" i="2"/>
  <c r="D19" i="2"/>
  <c r="C19" i="2"/>
  <c r="B19" i="2"/>
  <c r="A19" i="2"/>
  <c r="AI18" i="2"/>
  <c r="AH18" i="2"/>
  <c r="AG18" i="2"/>
  <c r="AF18" i="2"/>
  <c r="AE18" i="2"/>
  <c r="AD18" i="2"/>
  <c r="AC18" i="2"/>
  <c r="AB18" i="2"/>
  <c r="Z18" i="2"/>
  <c r="Y18" i="2"/>
  <c r="X18" i="2"/>
  <c r="W18" i="2"/>
  <c r="V18" i="2"/>
  <c r="U18" i="2"/>
  <c r="T18" i="2"/>
  <c r="S18" i="2"/>
  <c r="Q18" i="2"/>
  <c r="P18" i="2"/>
  <c r="O18" i="2"/>
  <c r="N18" i="2"/>
  <c r="M18" i="2"/>
  <c r="L18" i="2"/>
  <c r="K18" i="2"/>
  <c r="J18" i="2"/>
  <c r="H18" i="2"/>
  <c r="G18" i="2"/>
  <c r="F18" i="2"/>
  <c r="E18" i="2"/>
  <c r="D18" i="2"/>
  <c r="C18" i="2"/>
  <c r="B18" i="2"/>
  <c r="A18" i="2"/>
  <c r="AI17" i="2"/>
  <c r="AH17" i="2"/>
  <c r="AG17" i="2"/>
  <c r="AF17" i="2"/>
  <c r="AE17" i="2"/>
  <c r="AD17" i="2"/>
  <c r="AC17" i="2"/>
  <c r="AB17" i="2"/>
  <c r="Z17" i="2"/>
  <c r="Y17" i="2"/>
  <c r="X17" i="2"/>
  <c r="W17" i="2"/>
  <c r="V17" i="2"/>
  <c r="U17" i="2"/>
  <c r="T17" i="2"/>
  <c r="S17" i="2"/>
  <c r="Q17" i="2"/>
  <c r="P17" i="2"/>
  <c r="O17" i="2"/>
  <c r="N17" i="2"/>
  <c r="M17" i="2"/>
  <c r="L17" i="2"/>
  <c r="K17" i="2"/>
  <c r="J17" i="2"/>
  <c r="H17" i="2"/>
  <c r="G17" i="2"/>
  <c r="F17" i="2"/>
  <c r="E17" i="2"/>
  <c r="D17" i="2"/>
  <c r="C17" i="2"/>
  <c r="B17" i="2"/>
  <c r="A17" i="2"/>
  <c r="AI16" i="2"/>
  <c r="AH16" i="2"/>
  <c r="AG16" i="2"/>
  <c r="AF16" i="2"/>
  <c r="AE16" i="2"/>
  <c r="AD16" i="2"/>
  <c r="AC16" i="2"/>
  <c r="AB16" i="2"/>
  <c r="Z16" i="2"/>
  <c r="Y16" i="2"/>
  <c r="X16" i="2"/>
  <c r="W16" i="2"/>
  <c r="V16" i="2"/>
  <c r="U16" i="2"/>
  <c r="T16" i="2"/>
  <c r="S16" i="2"/>
  <c r="Q16" i="2"/>
  <c r="P16" i="2"/>
  <c r="O16" i="2"/>
  <c r="N16" i="2"/>
  <c r="M16" i="2"/>
  <c r="L16" i="2"/>
  <c r="K16" i="2"/>
  <c r="J16" i="2"/>
  <c r="H16" i="2"/>
  <c r="G16" i="2"/>
  <c r="F16" i="2"/>
  <c r="E16" i="2"/>
  <c r="D16" i="2"/>
  <c r="C16" i="2"/>
  <c r="B16" i="2"/>
  <c r="A16" i="2"/>
  <c r="AI15" i="2"/>
  <c r="AH15" i="2"/>
  <c r="AG15" i="2"/>
  <c r="AF15" i="2"/>
  <c r="AE15" i="2"/>
  <c r="AD15" i="2"/>
  <c r="AC15" i="2"/>
  <c r="AB15" i="2"/>
  <c r="Z15" i="2"/>
  <c r="Y15" i="2"/>
  <c r="X15" i="2"/>
  <c r="W15" i="2"/>
  <c r="V15" i="2"/>
  <c r="U15" i="2"/>
  <c r="T15" i="2"/>
  <c r="S15" i="2"/>
  <c r="Q15" i="2"/>
  <c r="P15" i="2"/>
  <c r="O15" i="2"/>
  <c r="N15" i="2"/>
  <c r="M15" i="2"/>
  <c r="L15" i="2"/>
  <c r="K15" i="2"/>
  <c r="J15" i="2"/>
  <c r="H15" i="2"/>
  <c r="G15" i="2"/>
  <c r="F15" i="2"/>
  <c r="E15" i="2"/>
  <c r="D15" i="2"/>
  <c r="C15" i="2"/>
  <c r="B15" i="2"/>
  <c r="A15" i="2"/>
  <c r="AI11" i="2"/>
  <c r="AH11" i="2"/>
  <c r="AG11" i="2"/>
  <c r="AF11" i="2"/>
  <c r="AE11" i="2"/>
  <c r="AD11" i="2"/>
  <c r="AC11" i="2"/>
  <c r="AB11" i="2"/>
  <c r="Z11" i="2"/>
  <c r="Y11" i="2"/>
  <c r="X11" i="2"/>
  <c r="W11" i="2"/>
  <c r="V11" i="2"/>
  <c r="U11" i="2"/>
  <c r="T11" i="2"/>
  <c r="S11" i="2"/>
  <c r="Q11" i="2"/>
  <c r="P11" i="2"/>
  <c r="O11" i="2"/>
  <c r="N11" i="2"/>
  <c r="M11" i="2"/>
  <c r="L11" i="2"/>
  <c r="K11" i="2"/>
  <c r="J11" i="2"/>
  <c r="H11" i="2"/>
  <c r="G11" i="2"/>
  <c r="F11" i="2"/>
  <c r="E11" i="2"/>
  <c r="D11" i="2"/>
  <c r="C11" i="2"/>
  <c r="B11" i="2"/>
  <c r="A11" i="2"/>
  <c r="AI10" i="2"/>
  <c r="AH10" i="2"/>
  <c r="AG10" i="2"/>
  <c r="AF10" i="2"/>
  <c r="AE10" i="2"/>
  <c r="AD10" i="2"/>
  <c r="AC10" i="2"/>
  <c r="AB10" i="2"/>
  <c r="Z10" i="2"/>
  <c r="Y10" i="2"/>
  <c r="X10" i="2"/>
  <c r="W10" i="2"/>
  <c r="V10" i="2"/>
  <c r="U10" i="2"/>
  <c r="T10" i="2"/>
  <c r="S10" i="2"/>
  <c r="Q10" i="2"/>
  <c r="P10" i="2"/>
  <c r="O10" i="2"/>
  <c r="N10" i="2"/>
  <c r="M10" i="2"/>
  <c r="L10" i="2"/>
  <c r="K10" i="2"/>
  <c r="J10" i="2"/>
  <c r="H10" i="2"/>
  <c r="G10" i="2"/>
  <c r="F10" i="2"/>
  <c r="E10" i="2"/>
  <c r="D10" i="2"/>
  <c r="C10" i="2"/>
  <c r="B10" i="2"/>
  <c r="A10" i="2"/>
  <c r="AI9" i="2"/>
  <c r="AH9" i="2"/>
  <c r="AG9" i="2"/>
  <c r="AF9" i="2"/>
  <c r="AE9" i="2"/>
  <c r="AD9" i="2"/>
  <c r="AC9" i="2"/>
  <c r="AB9" i="2"/>
  <c r="Z9" i="2"/>
  <c r="Y9" i="2"/>
  <c r="X9" i="2"/>
  <c r="W9" i="2"/>
  <c r="V9" i="2"/>
  <c r="U9" i="2"/>
  <c r="T9" i="2"/>
  <c r="S9" i="2"/>
  <c r="Q9" i="2"/>
  <c r="P9" i="2"/>
  <c r="O9" i="2"/>
  <c r="N9" i="2"/>
  <c r="M9" i="2"/>
  <c r="L9" i="2"/>
  <c r="K9" i="2"/>
  <c r="J9" i="2"/>
  <c r="H9" i="2"/>
  <c r="G9" i="2"/>
  <c r="F9" i="2"/>
  <c r="E9" i="2"/>
  <c r="D9" i="2"/>
  <c r="C9" i="2"/>
  <c r="B9" i="2"/>
  <c r="A9" i="2"/>
  <c r="AI8" i="2"/>
  <c r="AH8" i="2"/>
  <c r="AG8" i="2"/>
  <c r="AF8" i="2"/>
  <c r="AE8" i="2"/>
  <c r="AD8" i="2"/>
  <c r="AC8" i="2"/>
  <c r="AB8" i="2"/>
  <c r="Z8" i="2"/>
  <c r="Y8" i="2"/>
  <c r="X8" i="2"/>
  <c r="W8" i="2"/>
  <c r="V8" i="2"/>
  <c r="U8" i="2"/>
  <c r="T8" i="2"/>
  <c r="S8" i="2"/>
  <c r="Q8" i="2"/>
  <c r="P8" i="2"/>
  <c r="O8" i="2"/>
  <c r="N8" i="2"/>
  <c r="M8" i="2"/>
  <c r="L8" i="2"/>
  <c r="K8" i="2"/>
  <c r="J8" i="2"/>
  <c r="H8" i="2"/>
  <c r="G8" i="2"/>
  <c r="F8" i="2"/>
  <c r="E8" i="2"/>
  <c r="D8" i="2"/>
  <c r="C8" i="2"/>
  <c r="B8" i="2"/>
  <c r="A8" i="2"/>
  <c r="AI7" i="2"/>
  <c r="AH7" i="2"/>
  <c r="AG7" i="2"/>
  <c r="AF7" i="2"/>
  <c r="AE7" i="2"/>
  <c r="AD7" i="2"/>
  <c r="AC7" i="2"/>
  <c r="AB7" i="2"/>
  <c r="Z7" i="2"/>
  <c r="Y7" i="2"/>
  <c r="X7" i="2"/>
  <c r="W7" i="2"/>
  <c r="V7" i="2"/>
  <c r="U7" i="2"/>
  <c r="T7" i="2"/>
  <c r="S7" i="2"/>
  <c r="Q7" i="2"/>
  <c r="P7" i="2"/>
  <c r="O7" i="2"/>
  <c r="N7" i="2"/>
  <c r="M7" i="2"/>
  <c r="L7" i="2"/>
  <c r="K7" i="2"/>
  <c r="J7" i="2"/>
  <c r="H7" i="2"/>
  <c r="G7" i="2"/>
  <c r="F7" i="2"/>
  <c r="E7" i="2"/>
  <c r="D7" i="2"/>
  <c r="C7" i="2"/>
  <c r="B7" i="2"/>
  <c r="A7" i="2"/>
  <c r="AI6" i="2"/>
  <c r="AH6" i="2"/>
  <c r="AG6" i="2"/>
  <c r="AF6" i="2"/>
  <c r="AE6" i="2"/>
  <c r="AD6" i="2"/>
  <c r="AC6" i="2"/>
  <c r="AB6" i="2"/>
  <c r="Z6" i="2"/>
  <c r="Y6" i="2"/>
  <c r="X6" i="2"/>
  <c r="W6" i="2"/>
  <c r="V6" i="2"/>
  <c r="U6" i="2"/>
  <c r="T6" i="2"/>
  <c r="S6" i="2"/>
  <c r="Q6" i="2"/>
  <c r="P6" i="2"/>
  <c r="O6" i="2"/>
  <c r="N6" i="2"/>
  <c r="M6" i="2"/>
  <c r="L6" i="2"/>
  <c r="K6" i="2"/>
  <c r="J6" i="2"/>
  <c r="H6" i="2"/>
  <c r="G6" i="2"/>
  <c r="F6" i="2"/>
  <c r="E6" i="2"/>
  <c r="D6" i="2"/>
  <c r="C6" i="2"/>
  <c r="B6" i="2"/>
  <c r="A6" i="2"/>
  <c r="A2" i="2"/>
  <c r="A1" i="2"/>
  <c r="U25" i="16" l="1"/>
  <c r="T25" i="16"/>
  <c r="U24" i="16"/>
  <c r="T24" i="16"/>
  <c r="U21" i="16"/>
  <c r="T21" i="16"/>
  <c r="U19" i="16"/>
  <c r="T19" i="16"/>
  <c r="U11" i="16"/>
  <c r="T11" i="16"/>
  <c r="U5" i="16"/>
  <c r="T5" i="16"/>
  <c r="B31" i="16"/>
  <c r="A31" i="16"/>
  <c r="B34" i="16"/>
  <c r="B9" i="16"/>
  <c r="U9" i="16" s="1"/>
  <c r="B15" i="16"/>
  <c r="B12" i="16"/>
  <c r="C13" i="1"/>
  <c r="B14" i="16"/>
  <c r="B10" i="16"/>
  <c r="B8" i="16"/>
  <c r="B30" i="16"/>
  <c r="B13" i="16"/>
  <c r="U13" i="16" s="1"/>
  <c r="E57" i="15"/>
  <c r="D57" i="15"/>
  <c r="B57" i="15"/>
  <c r="C57" i="15"/>
  <c r="B56" i="15"/>
  <c r="C56" i="15"/>
  <c r="B55" i="15"/>
  <c r="B54" i="15"/>
  <c r="B53" i="15"/>
  <c r="B52" i="15"/>
  <c r="C52" i="15" s="1"/>
  <c r="B51" i="15"/>
  <c r="C51" i="15" s="1"/>
  <c r="B50" i="15"/>
  <c r="C50" i="15" s="1"/>
  <c r="B49" i="15"/>
  <c r="B48" i="15"/>
  <c r="C48" i="15" s="1"/>
  <c r="B47" i="15"/>
  <c r="B46" i="15"/>
  <c r="C46" i="15" s="1"/>
  <c r="B45" i="15"/>
  <c r="C45" i="15" s="1"/>
  <c r="B44" i="15"/>
  <c r="C44" i="15" s="1"/>
  <c r="B43" i="15"/>
  <c r="B42" i="15"/>
  <c r="B41" i="15"/>
  <c r="B40" i="15"/>
  <c r="B39" i="15"/>
  <c r="B38" i="15"/>
  <c r="C38" i="15" s="1"/>
  <c r="B37" i="15"/>
  <c r="B36" i="15"/>
  <c r="B35" i="15"/>
  <c r="B34" i="15"/>
  <c r="B33" i="15"/>
  <c r="C33" i="15" s="1"/>
  <c r="B32" i="15"/>
  <c r="B31" i="15"/>
  <c r="B30" i="15"/>
  <c r="B29" i="15"/>
  <c r="B28" i="15"/>
  <c r="B27" i="15"/>
  <c r="B26" i="15"/>
  <c r="B25" i="15"/>
  <c r="B24" i="15"/>
  <c r="B23" i="15"/>
  <c r="B22" i="15"/>
  <c r="B21" i="15"/>
  <c r="B20" i="15"/>
  <c r="B19" i="15"/>
  <c r="B18" i="15"/>
  <c r="B17" i="15"/>
  <c r="B16" i="15"/>
  <c r="B15" i="15"/>
  <c r="B14" i="15"/>
  <c r="B13" i="15"/>
  <c r="C13" i="15" s="1"/>
  <c r="B12" i="15"/>
  <c r="C12" i="15"/>
  <c r="B11" i="15"/>
  <c r="C11" i="15"/>
  <c r="B10" i="15"/>
  <c r="C10" i="15"/>
  <c r="B9" i="15"/>
  <c r="C9" i="15" s="1"/>
  <c r="B8" i="15"/>
  <c r="B7" i="15"/>
  <c r="C7" i="15" s="1"/>
  <c r="B6" i="15"/>
  <c r="B5" i="15"/>
  <c r="F5" i="3" l="1"/>
  <c r="T15" i="16"/>
  <c r="U15" i="16"/>
  <c r="T12" i="16"/>
  <c r="U12" i="16"/>
  <c r="T14" i="16"/>
  <c r="U14" i="16"/>
  <c r="T10" i="16"/>
  <c r="U10" i="16"/>
  <c r="T8" i="16"/>
  <c r="U8" i="16"/>
  <c r="C55" i="15"/>
  <c r="C54" i="15"/>
  <c r="C53" i="15"/>
  <c r="C49" i="15"/>
  <c r="C47" i="15"/>
  <c r="C43" i="15"/>
  <c r="D43" i="15" s="1"/>
  <c r="C42" i="15"/>
  <c r="C41" i="15"/>
  <c r="C40" i="15"/>
  <c r="C39" i="15"/>
  <c r="C37" i="15"/>
  <c r="C36" i="15"/>
  <c r="C35" i="15"/>
  <c r="C34" i="15"/>
  <c r="C32" i="15"/>
  <c r="C31" i="15"/>
  <c r="C30" i="15"/>
  <c r="C29" i="15"/>
  <c r="C28" i="15"/>
  <c r="D28" i="15" s="1"/>
  <c r="C27" i="15"/>
  <c r="C26" i="15"/>
  <c r="C25" i="15"/>
  <c r="C24" i="15"/>
  <c r="C23" i="15"/>
  <c r="C22" i="15"/>
  <c r="D22" i="15" s="1"/>
  <c r="C21" i="15"/>
  <c r="C20" i="15"/>
  <c r="C19" i="15"/>
  <c r="C18" i="15"/>
  <c r="C17" i="15"/>
  <c r="C16" i="15"/>
  <c r="C15" i="15"/>
  <c r="C14" i="15"/>
  <c r="D14" i="15" s="1"/>
  <c r="C8" i="15"/>
  <c r="C6" i="15"/>
  <c r="C5" i="15"/>
  <c r="D49" i="15" l="1"/>
  <c r="D47" i="15"/>
  <c r="E40" i="15"/>
  <c r="E35" i="15"/>
  <c r="D37" i="15"/>
  <c r="D18" i="15"/>
  <c r="E5" i="15"/>
  <c r="E46" i="15"/>
  <c r="E52" i="15"/>
  <c r="E56" i="15"/>
  <c r="E11" i="15"/>
  <c r="D11" i="15"/>
  <c r="D56" i="15"/>
  <c r="D46" i="15"/>
  <c r="A2" i="13"/>
  <c r="G5" i="13"/>
  <c r="A34" i="2"/>
  <c r="D34" i="2" s="1"/>
  <c r="A2" i="4"/>
  <c r="F5" i="13"/>
  <c r="J36" i="2"/>
  <c r="M36" i="2" s="1"/>
  <c r="S34" i="2"/>
  <c r="V34" i="2" s="1"/>
  <c r="E13" i="15"/>
  <c r="D13" i="15"/>
  <c r="D38" i="15"/>
  <c r="E9" i="10"/>
  <c r="C9" i="3"/>
  <c r="C16" i="1"/>
  <c r="H5" i="13"/>
  <c r="S32" i="2"/>
  <c r="V32" i="2" s="1"/>
  <c r="T27" i="16"/>
  <c r="C17" i="1"/>
  <c r="D9" i="3"/>
  <c r="F9" i="3"/>
  <c r="E5" i="13"/>
  <c r="S36" i="2"/>
  <c r="V36" i="2" s="1"/>
  <c r="J32" i="2"/>
  <c r="M32" i="2" s="1"/>
  <c r="J33" i="2"/>
  <c r="M33" i="2" s="1"/>
  <c r="AB34" i="2"/>
  <c r="AE34" i="2" s="1"/>
  <c r="A36" i="2"/>
  <c r="D36" i="2" s="1"/>
  <c r="F9" i="10"/>
  <c r="B9" i="3"/>
  <c r="E9" i="3"/>
  <c r="C5" i="13"/>
  <c r="AB36" i="2"/>
  <c r="AE36" i="2" s="1"/>
  <c r="A32" i="2"/>
  <c r="D32" i="2" s="1"/>
  <c r="AB32" i="2"/>
  <c r="AE32" i="2" s="1"/>
  <c r="J34" i="2"/>
  <c r="M34" i="2" s="1"/>
  <c r="A35" i="2"/>
  <c r="D35" i="2" s="1"/>
  <c r="C19" i="1"/>
  <c r="E38" i="15"/>
  <c r="E50" i="15"/>
  <c r="D50" i="15"/>
  <c r="D52" i="15"/>
  <c r="H9" i="10"/>
  <c r="A2" i="7"/>
  <c r="A2" i="10"/>
  <c r="A2" i="11"/>
  <c r="G9" i="10"/>
  <c r="B21" i="11"/>
  <c r="D21" i="11"/>
  <c r="A2" i="12"/>
  <c r="AB35" i="2"/>
  <c r="AE35" i="2" s="1"/>
  <c r="S35" i="2"/>
  <c r="V35" i="2" s="1"/>
  <c r="C21" i="11"/>
  <c r="A2" i="14"/>
  <c r="B17" i="14"/>
  <c r="A2" i="6"/>
  <c r="S31" i="2"/>
  <c r="A33" i="2"/>
  <c r="D33" i="2" s="1"/>
  <c r="A2" i="9"/>
  <c r="A2" i="8"/>
  <c r="S33" i="2"/>
  <c r="V33" i="2" s="1"/>
  <c r="AB33" i="2"/>
  <c r="AE33" i="2" s="1"/>
  <c r="U27" i="16"/>
  <c r="J35" i="2"/>
  <c r="M35" i="2" s="1"/>
  <c r="A2" i="3"/>
  <c r="D5" i="13"/>
  <c r="H21" i="7"/>
  <c r="D5" i="8"/>
  <c r="G9" i="8"/>
  <c r="F5" i="9"/>
  <c r="H9" i="9"/>
  <c r="B9" i="10"/>
  <c r="G13" i="10"/>
  <c r="H17" i="10"/>
  <c r="H21" i="10"/>
  <c r="D5" i="11"/>
  <c r="D13" i="11"/>
  <c r="D17" i="11"/>
  <c r="E9" i="12"/>
  <c r="F21" i="7"/>
  <c r="C5" i="8"/>
  <c r="C9" i="8"/>
  <c r="G9" i="9"/>
  <c r="H5" i="10"/>
  <c r="E13" i="10"/>
  <c r="F17" i="10"/>
  <c r="F21" i="10"/>
  <c r="G9" i="11"/>
  <c r="H13" i="11"/>
  <c r="G17" i="11"/>
  <c r="B9" i="12"/>
  <c r="H9" i="12"/>
  <c r="H13" i="12"/>
  <c r="D17" i="12"/>
  <c r="B21" i="12"/>
  <c r="G21" i="12"/>
  <c r="D9" i="13"/>
  <c r="H9" i="13"/>
  <c r="E13" i="13"/>
  <c r="C17" i="13"/>
  <c r="F17" i="13"/>
  <c r="F5" i="14"/>
  <c r="D9" i="14"/>
  <c r="G13" i="14"/>
  <c r="H17" i="7"/>
  <c r="H5" i="8"/>
  <c r="B13" i="8"/>
  <c r="H5" i="9"/>
  <c r="C13" i="9"/>
  <c r="C9" i="10"/>
  <c r="H13" i="10"/>
  <c r="B21" i="10"/>
  <c r="G21" i="10"/>
  <c r="C13" i="11"/>
  <c r="C17" i="11"/>
  <c r="F5" i="12"/>
  <c r="F9" i="12"/>
  <c r="D13" i="12"/>
  <c r="C17" i="12"/>
  <c r="G17" i="12"/>
  <c r="D21" i="12"/>
  <c r="C9" i="13"/>
  <c r="G9" i="13"/>
  <c r="G13" i="13"/>
  <c r="H17" i="13"/>
  <c r="E5" i="14"/>
  <c r="G5" i="14"/>
  <c r="B9" i="14"/>
  <c r="E9" i="14"/>
  <c r="F9" i="14"/>
  <c r="H9" i="14"/>
  <c r="C13" i="14"/>
  <c r="E13" i="14"/>
  <c r="H13" i="14"/>
  <c r="C17" i="14"/>
  <c r="D17" i="14"/>
  <c r="F17" i="14"/>
  <c r="H17" i="14"/>
  <c r="E21" i="14"/>
  <c r="D21" i="7"/>
  <c r="B9" i="8"/>
  <c r="E5" i="9"/>
  <c r="F9" i="9"/>
  <c r="F13" i="10"/>
  <c r="G17" i="10"/>
  <c r="E21" i="10"/>
  <c r="H9" i="11"/>
  <c r="F13" i="11"/>
  <c r="E17" i="11"/>
  <c r="C9" i="12"/>
  <c r="B13" i="12"/>
  <c r="G13" i="12"/>
  <c r="E17" i="12"/>
  <c r="C21" i="12"/>
  <c r="H21" i="12"/>
  <c r="B9" i="13"/>
  <c r="E9" i="13"/>
  <c r="D13" i="13"/>
  <c r="B17" i="13"/>
  <c r="G17" i="13"/>
  <c r="D5" i="14"/>
  <c r="H5" i="14"/>
  <c r="G9" i="14"/>
  <c r="D13" i="14"/>
  <c r="D21" i="14"/>
  <c r="G5" i="3"/>
  <c r="H5" i="3"/>
  <c r="G9" i="3"/>
  <c r="H9" i="3"/>
  <c r="B13" i="3"/>
  <c r="C13" i="3"/>
  <c r="D13" i="3"/>
  <c r="E13" i="3"/>
  <c r="F13" i="3"/>
  <c r="G13" i="3"/>
  <c r="H13" i="3"/>
  <c r="B17" i="3"/>
  <c r="C17" i="3"/>
  <c r="D17" i="3"/>
  <c r="E17" i="3"/>
  <c r="F17" i="3"/>
  <c r="G17" i="3"/>
  <c r="H17" i="3"/>
  <c r="B21" i="3"/>
  <c r="C21" i="3"/>
  <c r="D21" i="3"/>
  <c r="E21" i="3"/>
  <c r="F21" i="3"/>
  <c r="G21" i="3"/>
  <c r="H21" i="3"/>
  <c r="C5" i="4"/>
  <c r="E5" i="4"/>
  <c r="G5" i="4"/>
  <c r="H5" i="4"/>
  <c r="B9" i="4"/>
  <c r="C9" i="4"/>
  <c r="D9" i="4"/>
  <c r="E9" i="4"/>
  <c r="F9" i="4"/>
  <c r="G9" i="4"/>
  <c r="H9" i="4"/>
  <c r="B13" i="4"/>
  <c r="C13" i="4"/>
  <c r="D13" i="4"/>
  <c r="E13" i="4"/>
  <c r="F13" i="4"/>
  <c r="G13" i="4"/>
  <c r="H13" i="4"/>
  <c r="B17" i="4"/>
  <c r="C17" i="4"/>
  <c r="D17" i="4"/>
  <c r="E17" i="4"/>
  <c r="F17" i="4"/>
  <c r="G17" i="4"/>
  <c r="B5" i="5"/>
  <c r="C5" i="5"/>
  <c r="D5" i="5"/>
  <c r="E5" i="5"/>
  <c r="F5" i="5"/>
  <c r="G5" i="5"/>
  <c r="B5" i="4"/>
  <c r="F5" i="4"/>
  <c r="B9" i="5"/>
  <c r="D9" i="5"/>
  <c r="F9" i="5"/>
  <c r="H9" i="5"/>
  <c r="C13" i="5"/>
  <c r="E13" i="5"/>
  <c r="G13" i="5"/>
  <c r="B17" i="5"/>
  <c r="E17" i="5"/>
  <c r="G17" i="5"/>
  <c r="B21" i="5"/>
  <c r="D21" i="5"/>
  <c r="E5" i="6"/>
  <c r="F5" i="6"/>
  <c r="G5" i="6"/>
  <c r="H5" i="6"/>
  <c r="B9" i="6"/>
  <c r="C9" i="6"/>
  <c r="D9" i="6"/>
  <c r="E9" i="6"/>
  <c r="F9" i="6"/>
  <c r="G9" i="6"/>
  <c r="H9" i="6"/>
  <c r="D5" i="4"/>
  <c r="H5" i="5"/>
  <c r="C9" i="5"/>
  <c r="E9" i="5"/>
  <c r="G9" i="5"/>
  <c r="B13" i="5"/>
  <c r="D13" i="5"/>
  <c r="F13" i="5"/>
  <c r="H13" i="5"/>
  <c r="C17" i="5"/>
  <c r="D17" i="5"/>
  <c r="F17" i="5"/>
  <c r="H17" i="5"/>
  <c r="C21" i="5"/>
  <c r="B13" i="6"/>
  <c r="C13" i="6"/>
  <c r="D13" i="6"/>
  <c r="E13" i="6"/>
  <c r="F13" i="6"/>
  <c r="G13" i="6"/>
  <c r="H13" i="6"/>
  <c r="B17" i="6"/>
  <c r="C17" i="6"/>
  <c r="D17" i="6"/>
  <c r="E17" i="6"/>
  <c r="F17" i="6"/>
  <c r="G17" i="6"/>
  <c r="H17" i="6"/>
  <c r="B21" i="6"/>
  <c r="C21" i="6"/>
  <c r="D21" i="6"/>
  <c r="E21" i="6"/>
  <c r="F21" i="6"/>
  <c r="G5" i="7"/>
  <c r="H5" i="7"/>
  <c r="B9" i="7"/>
  <c r="C9" i="7"/>
  <c r="D9" i="7"/>
  <c r="E9" i="7"/>
  <c r="F9" i="7"/>
  <c r="G9" i="7"/>
  <c r="H9" i="7"/>
  <c r="B13" i="7"/>
  <c r="C13" i="7"/>
  <c r="D13" i="7"/>
  <c r="E13" i="7"/>
  <c r="B17" i="7"/>
  <c r="C17" i="7"/>
  <c r="D17" i="7"/>
  <c r="E17" i="7"/>
  <c r="G17" i="7"/>
  <c r="F5" i="8"/>
  <c r="H9" i="8"/>
  <c r="D13" i="8"/>
  <c r="E13" i="8"/>
  <c r="F13" i="8"/>
  <c r="G13" i="8"/>
  <c r="H13" i="8"/>
  <c r="B17" i="8"/>
  <c r="C17" i="8"/>
  <c r="D17" i="8"/>
  <c r="E17" i="8"/>
  <c r="F17" i="8"/>
  <c r="G17" i="8"/>
  <c r="H17" i="8"/>
  <c r="B21" i="8"/>
  <c r="C21" i="8"/>
  <c r="D21" i="8"/>
  <c r="C21" i="7"/>
  <c r="E5" i="8"/>
  <c r="C13" i="8"/>
  <c r="C9" i="9"/>
  <c r="E13" i="9"/>
  <c r="F13" i="9"/>
  <c r="G13" i="9"/>
  <c r="H13" i="9"/>
  <c r="B17" i="9"/>
  <c r="C17" i="9"/>
  <c r="D17" i="9"/>
  <c r="E17" i="9"/>
  <c r="F17" i="9"/>
  <c r="G17" i="9"/>
  <c r="H17" i="9"/>
  <c r="B21" i="9"/>
  <c r="C21" i="9"/>
  <c r="D21" i="9"/>
  <c r="E21" i="9"/>
  <c r="F21" i="9"/>
  <c r="G21" i="9"/>
  <c r="G21" i="7"/>
  <c r="F9" i="8"/>
  <c r="D9" i="9"/>
  <c r="D9" i="10"/>
  <c r="B17" i="10"/>
  <c r="C25" i="10"/>
  <c r="E5" i="11"/>
  <c r="F5" i="11"/>
  <c r="G5" i="11"/>
  <c r="H5" i="11"/>
  <c r="B9" i="11"/>
  <c r="C9" i="11"/>
  <c r="D9" i="11"/>
  <c r="E9" i="11"/>
  <c r="E21" i="7"/>
  <c r="E9" i="8"/>
  <c r="G5" i="9"/>
  <c r="B13" i="9"/>
  <c r="B13" i="10"/>
  <c r="C17" i="10"/>
  <c r="C21" i="10"/>
  <c r="B13" i="11"/>
  <c r="B17" i="11"/>
  <c r="E21" i="11"/>
  <c r="H5" i="12"/>
  <c r="E13" i="12"/>
  <c r="F17" i="7"/>
  <c r="B25" i="7"/>
  <c r="G5" i="8"/>
  <c r="B9" i="9"/>
  <c r="D13" i="9"/>
  <c r="D13" i="10"/>
  <c r="D17" i="10"/>
  <c r="D21" i="10"/>
  <c r="F9" i="11"/>
  <c r="G13" i="11"/>
  <c r="H17" i="11"/>
  <c r="D9" i="12"/>
  <c r="C13" i="12"/>
  <c r="B17" i="12"/>
  <c r="H17" i="12"/>
  <c r="E21" i="12"/>
  <c r="B5" i="13"/>
  <c r="F9" i="13"/>
  <c r="C13" i="13"/>
  <c r="H13" i="13"/>
  <c r="E17" i="13"/>
  <c r="B21" i="13"/>
  <c r="C21" i="13"/>
  <c r="B21" i="7"/>
  <c r="D9" i="8"/>
  <c r="E9" i="9"/>
  <c r="C13" i="10"/>
  <c r="E17" i="10"/>
  <c r="B25" i="10"/>
  <c r="E13" i="11"/>
  <c r="F17" i="11"/>
  <c r="G5" i="12"/>
  <c r="G9" i="12"/>
  <c r="F13" i="12"/>
  <c r="F17" i="12"/>
  <c r="F21" i="12"/>
  <c r="B13" i="13"/>
  <c r="F13" i="13"/>
  <c r="D17" i="13"/>
  <c r="C9" i="14"/>
  <c r="B13" i="14"/>
  <c r="F13" i="14"/>
  <c r="E17" i="14"/>
  <c r="G17" i="14"/>
  <c r="B21" i="14"/>
  <c r="C21" i="14"/>
  <c r="F21" i="14"/>
  <c r="H17" i="4"/>
  <c r="F13" i="7"/>
  <c r="A2" i="5"/>
  <c r="H13" i="7"/>
  <c r="G13" i="7"/>
  <c r="E47" i="15"/>
  <c r="D40" i="15"/>
  <c r="E37" i="15"/>
  <c r="E28" i="15"/>
  <c r="E21" i="15"/>
  <c r="E55" i="15"/>
  <c r="E53" i="15"/>
  <c r="E51" i="15"/>
  <c r="D51" i="15"/>
  <c r="E22" i="15"/>
  <c r="D48" i="15"/>
  <c r="E34" i="15"/>
  <c r="E48" i="15"/>
  <c r="D10" i="15"/>
  <c r="D45" i="15"/>
  <c r="E45" i="15"/>
  <c r="E44" i="15"/>
  <c r="E41" i="15"/>
  <c r="D21" i="15"/>
  <c r="D19" i="15"/>
  <c r="E19" i="15"/>
  <c r="D41" i="15"/>
  <c r="E18" i="15"/>
  <c r="E10" i="15"/>
  <c r="D9" i="15"/>
  <c r="E8" i="15"/>
  <c r="D15" i="15"/>
  <c r="E15" i="15"/>
  <c r="E14" i="15"/>
  <c r="D34" i="15"/>
  <c r="D35" i="15"/>
  <c r="D33" i="15"/>
  <c r="E33" i="15"/>
  <c r="E12" i="15"/>
  <c r="D31" i="15"/>
  <c r="D12" i="15"/>
  <c r="E9" i="15"/>
  <c r="E49" i="15"/>
  <c r="E25" i="15"/>
  <c r="E31" i="15"/>
  <c r="D53" i="15"/>
  <c r="D7" i="15"/>
  <c r="E7" i="15"/>
  <c r="D5" i="15"/>
  <c r="D25" i="15"/>
  <c r="D8" i="15"/>
  <c r="D55" i="15"/>
  <c r="D44" i="15"/>
  <c r="E43" i="15"/>
  <c r="D54" i="15"/>
  <c r="E54" i="15"/>
  <c r="E42" i="15"/>
  <c r="D42" i="15"/>
  <c r="E39" i="15"/>
  <c r="D39" i="15"/>
  <c r="E36" i="15"/>
  <c r="D36" i="15"/>
  <c r="E32" i="15"/>
  <c r="D32" i="15"/>
  <c r="E30" i="15"/>
  <c r="D30" i="15"/>
  <c r="E29" i="15"/>
  <c r="D29" i="15"/>
  <c r="E27" i="15"/>
  <c r="D27" i="15"/>
  <c r="E26" i="15"/>
  <c r="D26" i="15"/>
  <c r="E24" i="15"/>
  <c r="D24" i="15"/>
  <c r="D23" i="15"/>
  <c r="E23" i="15"/>
  <c r="E20" i="15"/>
  <c r="D20" i="15"/>
  <c r="D17" i="15"/>
  <c r="E17" i="15"/>
  <c r="D16" i="15"/>
  <c r="E16" i="15"/>
  <c r="E6" i="15"/>
  <c r="D6" i="15"/>
</calcChain>
</file>

<file path=xl/sharedStrings.xml><?xml version="1.0" encoding="utf-8"?>
<sst xmlns="http://schemas.openxmlformats.org/spreadsheetml/2006/main" count="326" uniqueCount="120">
  <si>
    <t>Jahr</t>
  </si>
  <si>
    <t>Bundesland</t>
  </si>
  <si>
    <t>Nordrhein-Westfalen</t>
  </si>
  <si>
    <t>Januar</t>
  </si>
  <si>
    <t>Februar</t>
  </si>
  <si>
    <t>März</t>
  </si>
  <si>
    <t>April</t>
  </si>
  <si>
    <t>KW</t>
  </si>
  <si>
    <t>Mo</t>
  </si>
  <si>
    <t>Di</t>
  </si>
  <si>
    <t>Mi</t>
  </si>
  <si>
    <t>Do</t>
  </si>
  <si>
    <t>Fr</t>
  </si>
  <si>
    <t>Sa</t>
  </si>
  <si>
    <t>So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</si>
  <si>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</si>
  <si>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</si>
  <si>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</si>
  <si>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</si>
  <si>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</si>
  <si>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</si>
  <si>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</si>
  <si>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</si>
  <si>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Feiertag</t>
  </si>
  <si>
    <t>Wochenende</t>
  </si>
  <si>
    <t>Regionale Besonderheiten und betriebliche freie Tage: Blatt „Feiertage“. Jahr und Bundesland oben rechts ändern.</t>
  </si>
  <si>
    <t>Jahreskalender, 12 Monatsblätter, Kalenderwochen und Feiertage aller Bundesländer · Vorlage von SEMINARON</t>
  </si>
  <si>
    <t>Ihre Auswahl</t>
  </si>
  <si>
    <t>Ändern: oben rechts im Blatt „Jahreskalender“ (gelbe Felder)</t>
  </si>
  <si>
    <t>Auf einen Blick</t>
  </si>
  <si>
    <t>1. Januar</t>
  </si>
  <si>
    <t>Schaltjahr</t>
  </si>
  <si>
    <t>Kalenderwochen</t>
  </si>
  <si>
    <t>Ostersonntag</t>
  </si>
  <si>
    <t>Beginn Sommerzeit</t>
  </si>
  <si>
    <t>Ende Sommerzeit</t>
  </si>
  <si>
    <t>Feiertage im Bundesland</t>
  </si>
  <si>
    <t>davon Montag bis Freitag</t>
  </si>
  <si>
    <t>Tage Montag bis Freitag</t>
  </si>
  <si>
    <t>Arbeitstage Montag bis Freitag</t>
  </si>
  <si>
    <t>Annahme: Fünf-Tage-Woche, gesetzliche Feiertage des Landes</t>
  </si>
  <si>
    <t>So nutzen Sie die Vorlage</t>
  </si>
  <si>
    <t>1. Im Blatt „Jahreskalender“ oben rechts das Jahr (2026 bis 2078) eintragen und das Bundesland wählen.</t>
  </si>
  <si>
    <t>2. Alle Blätter rechnen neu: Daten, Wochentage, Kalenderwochen und Feiertage, auch Ostern.</t>
  </si>
  <si>
    <t>3. „Jahreskalender“: alle 12 Monate mit KW auf einer Seite A4 quer, Feiertage rot.</t>
  </si>
  <si>
    <t>4. Blätter „Januar“ bis „Dezember“: großer Monatskalender mit Platz für Termine und Notizen.</t>
  </si>
  <si>
    <t>5. „Kalenderwochen“: jede KW mit Montag, Sonntag, Feiertagen und Arbeitstagen.</t>
  </si>
  <si>
    <t>6. „Feiertage“: alle gesetzlichen Feiertage mit 1 und 0 je Bundesland. In der Spalte „Bei uns frei“</t>
  </si>
  <si>
    <t xml:space="preserve">    können Sie Heiligabend, Silvester oder einen regionalen Feiertag mit 1 als freien Tag ergänzen.</t>
  </si>
  <si>
    <t>7. Drucken: Datei, Drucken. Jedes Blatt ist auf eine Seite A4 eingerichtet.</t>
  </si>
  <si>
    <t>Farben</t>
  </si>
  <si>
    <t>Eingabefeld: hier dürfen Sie etwas ändern</t>
  </si>
  <si>
    <t>gesetzlicher Feiertag im gewählten Bundesland</t>
  </si>
  <si>
    <t>Erklärungen, Feiertage und Kalenderwochen 2027 im Artikel: seminaron.de/kalender-2027-excel</t>
  </si>
  <si>
    <t>Formeln in Excel lernen: seminaron.de/seminar/excel-kurs-formeln-und-funktionen</t>
  </si>
  <si>
    <t>Vorlage von SEMINARON (seminaron.de). Frei verwendbar und veränderbar. Ohne Makros, ohne Blattschutz. Angaben ohne Gewähr.</t>
  </si>
  <si>
    <t>Montag</t>
  </si>
  <si>
    <t>Dienstag</t>
  </si>
  <si>
    <t>Mittwoch</t>
  </si>
  <si>
    <t>Donnerstag</t>
  </si>
  <si>
    <t>Freitag</t>
  </si>
  <si>
    <t>Samstag</t>
  </si>
  <si>
    <t>Sonntag</t>
  </si>
  <si>
    <t>Notizen</t>
  </si>
  <si>
    <t>Arbeitstage</t>
  </si>
  <si>
    <t>Osterformel gültig bis 2078. Feiertagsregeln: Stand Oktober 2026, für frühere Jahre nicht geeignet.</t>
  </si>
  <si>
    <t>Datum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</si>
  <si>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</si>
  <si>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</si>
  <si>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</si>
  <si>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</si>
  <si>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</si>
  <si>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</si>
  <si>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</si>
  <si>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</si>
  <si>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</si>
  <si>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Rheinland-Pfalz</t>
  </si>
  <si>
    <t>Saarland</t>
  </si>
  <si>
    <t>Sachsen</t>
  </si>
  <si>
    <t>Sachsen-Anhalt</t>
  </si>
  <si>
    <t>Schleswig-Holstein</t>
  </si>
  <si>
    <t>Thüringen</t>
  </si>
  <si>
    <t>Bei uns frei</t>
  </si>
  <si>
    <t>Gilt bei Ihnen</t>
  </si>
  <si>
    <t>Wochentag</t>
  </si>
  <si>
    <t>Hinweis</t>
  </si>
  <si>
    <t>Neujahr</t>
  </si>
  <si>
    <t>Heilige Drei Könige</t>
  </si>
  <si>
    <t>Internationaler Frauentag</t>
  </si>
  <si>
    <t>Karfreitag</t>
  </si>
  <si>
    <t>gesetzlicher Feiertag nur in Brandenburg, fällt immer auf einen Sonntag</t>
  </si>
  <si>
    <t>Ostermontag</t>
  </si>
  <si>
    <t>Tag der Arbeit</t>
  </si>
  <si>
    <t>Christi Himmelfahrt</t>
  </si>
  <si>
    <t>Pfingstsonntag</t>
  </si>
  <si>
    <t>Pfingstmontag</t>
  </si>
  <si>
    <t>Fronleichnam</t>
  </si>
  <si>
    <t>auch in einzelnen Gemeinden in Sachsen und Thüringen: dort „Bei uns frei“ auf 1 setzen</t>
  </si>
  <si>
    <t>Augsburger Friedensfest</t>
  </si>
  <si>
    <t>nur im Stadtgebiet Augsburg: dort „Bei uns frei“ auf 1 setzen</t>
  </si>
  <si>
    <t>Mariä Himmelfahrt</t>
  </si>
  <si>
    <t>Bayern: nur in Gemeinden mit überwiegend katholischer Bevölkerung. Gilt er bei Ihnen nicht, die 1 in der Spalte Bayern auf 0 setzen.</t>
  </si>
  <si>
    <t>Weltkindertag</t>
  </si>
  <si>
    <t>Tag der Deutschen Einheit</t>
  </si>
  <si>
    <t>Reformationstag</t>
  </si>
  <si>
    <t>Allerheiligen</t>
  </si>
  <si>
    <t>Buß- und Bettag</t>
  </si>
  <si>
    <t>Mittwoch vor dem 23. November</t>
  </si>
  <si>
    <t>Heiligabend</t>
  </si>
  <si>
    <t>kein gesetzlicher Feiertag: „Bei uns frei“ auf 1 setzen, wenn bei Ihnen frei ist</t>
  </si>
  <si>
    <t>1. Weihnachtstag</t>
  </si>
  <si>
    <t>2. Weihnachtstag</t>
  </si>
  <si>
    <t>Silvester</t>
  </si>
  <si>
    <t>Anzahl im gewählten Bundesland</t>
  </si>
  <si>
    <t>← Feiertage gesamt und davon Montag bis Freitag</t>
  </si>
  <si>
    <t>Weitere Tage (keine gesetzlichen Feiertage, im Monatsblatt grau)</t>
  </si>
  <si>
    <t>Rosenmontag</t>
  </si>
  <si>
    <t>Muttertag</t>
  </si>
  <si>
    <t>1. Advent</t>
  </si>
  <si>
    <t>Angaben ohne Gewähr. Stand der Feiertagsgesetze: Oktober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</si>
</sst>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.mm\.yyyy"/>
    <numFmt numFmtId="165" formatCode="dd\.mm\.yyyy;;"/>
    <numFmt numFmtId="166" formatCode="dddd"/>
    <numFmt numFmtId="167" formatCode="d"/>
    <numFmt numFmtId="168" formatCode="ddd\ dd\.mm\."/>
    <numFmt numFmtId="169" formatCode="ddd\ dd\.mm\.yyyy"/>
  </numFmts>
  <fonts count="37" x14ac:knownFonts="1">
    <font>
      <sz val="11"/>
      <color theme="1"/>
      <name val="Calibri"/>
      <family val="2"/>
      <scheme val="minor"/>
    </font>
    <font>
      <b/>
      <sz val="18"/>
      <color rgb="FF1F2023"/>
      <name val="Calibri"/>
    </font>
    <font>
      <sz val="10"/>
      <color rgb="FF686E70"/>
      <name val="Calibri"/>
    </font>
    <font>
      <b/>
      <sz val="10"/>
      <color rgb="FF1F2023"/>
      <name val="Calibri"/>
    </font>
    <font>
      <b/>
      <sz val="10"/>
      <color rgb="FFB83F50"/>
      <name val="Calibri"/>
    </font>
    <font>
      <i/>
      <sz val="9"/>
      <color rgb="FF686E70"/>
      <name val="Calibri"/>
    </font>
    <font>
      <b/>
      <sz val="9"/>
      <color rgb="FF1F2023"/>
      <name val="Calibri"/>
    </font>
    <font>
      <sz val="10"/>
      <color rgb="FF1F2023"/>
      <name val="Calibri"/>
    </font>
    <font>
      <b/>
      <sz val="10"/>
      <color rgb="FF8A1F2B"/>
      <name val="Calibri"/>
    </font>
    <font>
      <b/>
      <sz val="11"/>
      <color rgb="FFDE5E64"/>
      <name val="Calibri"/>
    </font>
    <font>
      <b/>
      <sz val="28"/>
      <color rgb="FF1F2023"/>
      <name val="Calibri"/>
    </font>
    <font>
      <b/>
      <sz val="11"/>
      <color rgb="FF686E70"/>
      <name val="Calibri"/>
    </font>
    <font>
      <b/>
      <sz val="14"/>
      <color rgb="FFB83F50"/>
      <name val="Calibri"/>
    </font>
    <font>
      <b/>
      <sz val="12"/>
      <color rgb="FFB83F50"/>
      <name val="Calibri"/>
    </font>
    <font>
      <b/>
      <sz val="13"/>
      <color rgb="FFDE5E64"/>
      <name val="Calibri"/>
    </font>
    <font>
      <b/>
      <sz val="8"/>
      <color rgb="FF7A7E81"/>
      <name val="Calibri"/>
    </font>
    <font>
      <b/>
      <sz val="8.5"/>
      <color rgb="FF686E70"/>
      <name val="Calibri"/>
    </font>
    <font>
      <b/>
      <sz val="8.5"/>
      <color rgb="FFDE5E64"/>
      <name val="Calibri"/>
    </font>
    <font>
      <sz val="8.5"/>
      <color rgb="FF7A7E81"/>
      <name val="Calibri"/>
    </font>
    <font>
      <b/>
      <sz val="11"/>
      <color rgb="FF1F2023"/>
      <name val="Calibri"/>
    </font>
    <font>
      <i/>
      <sz val="9"/>
      <color rgb="FF8A1F2B"/>
      <name val="Calibri"/>
    </font>
    <font>
      <b/>
      <sz val="9"/>
      <color rgb="FF8A1F2B"/>
      <name val="Calibri"/>
    </font>
    <font>
      <sz val="9"/>
      <color rgb="FF1F2023"/>
      <name val="Calibri"/>
    </font>
    <font>
      <sz val="8.5"/>
      <color rgb="FF686E70"/>
      <name val="Calibri"/>
    </font>
    <font>
      <b/>
      <sz val="26"/>
      <color rgb="FF1F2023"/>
      <name val="Calibri"/>
    </font>
    <font>
      <b/>
      <sz val="10.5"/>
      <color rgb="FFFFFFFF"/>
      <name val="Calibri"/>
    </font>
    <font>
      <b/>
      <sz val="11"/>
      <color rgb="FFB83F50"/>
      <name val="Calibri"/>
    </font>
    <font>
      <b/>
      <sz val="15"/>
      <color rgb="FF1F2023"/>
      <name val="Calibri"/>
    </font>
    <font>
      <i/>
      <sz val="8.5"/>
      <color rgb="FF686E70"/>
      <name val="Calibri"/>
    </font>
    <font>
      <b/>
      <sz val="22"/>
      <color rgb="FF1F2023"/>
      <name val="Calibri"/>
    </font>
    <font>
      <b/>
      <sz val="10"/>
      <color rgb="FFFFFFFF"/>
      <name val="Calibri"/>
    </font>
    <font>
      <b/>
      <sz val="9.5"/>
      <color rgb="FF8A1F2B"/>
      <name val="Calibri"/>
    </font>
    <font>
      <b/>
      <sz val="24"/>
      <color rgb="FF1F2023"/>
      <name val="Calibri"/>
    </font>
    <font>
      <sz val="11"/>
      <color rgb="FF686E70"/>
      <name val="Calibri"/>
    </font>
    <font>
      <u/>
      <sz val="10"/>
      <color rgb="FF1D4E89"/>
      <name val="Calibri"/>
    </font>
    <font>
      <sz val="11"/>
      <color rgb="FF1F2023"/>
      <name val="Calibri"/>
    </font>
    <font>
      <sz val="9"/>
      <color rgb="FF686E7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DF4F4"/>
        <bgColor rgb="FFFDF4F4"/>
      </patternFill>
    </fill>
    <fill>
      <patternFill patternType="solid">
        <fgColor rgb="FFFFF6D6"/>
        <bgColor rgb="FFFFF6D6"/>
      </patternFill>
    </fill>
    <fill>
      <patternFill patternType="solid">
        <fgColor rgb="FFF4EDEB"/>
        <bgColor rgb="FFF4EDEB"/>
      </patternFill>
    </fill>
    <fill>
      <patternFill patternType="solid">
        <fgColor rgb="FFF8D7DA"/>
        <bgColor rgb="FFF8D7DA"/>
      </patternFill>
    </fill>
    <fill>
      <patternFill patternType="solid">
        <fgColor rgb="FFDE5E64"/>
        <bgColor rgb="FFDE5E64"/>
      </patternFill>
    </fill>
    <fill>
      <patternFill patternType="solid">
        <fgColor rgb="FFB83F50"/>
        <bgColor rgb="FFB83F50"/>
      </patternFill>
    </fill>
  </fills>
  <borders count="12">
    <border>
      <left/>
      <right/>
      <top/>
      <bottom/>
      <diagonal/>
    </border>
    <border>
      <left style="thin">
        <color rgb="FFE5E1E1"/>
      </left>
      <right style="thin">
        <color rgb="FFE5E1E1"/>
      </right>
      <top style="thin">
        <color rgb="FFE5E1E1"/>
      </top>
      <bottom style="thin">
        <color rgb="FFE5E1E1"/>
      </bottom>
      <diagonal/>
    </border>
    <border>
      <left style="thin">
        <color rgb="FFCFC8C6"/>
      </left>
      <right/>
      <top style="thin">
        <color rgb="FFCFC8C6"/>
      </top>
      <bottom style="thin">
        <color rgb="FFCFC8C6"/>
      </bottom>
      <diagonal/>
    </border>
    <border>
      <left/>
      <right/>
      <top style="thin">
        <color rgb="FFCFC8C6"/>
      </top>
      <bottom style="thin">
        <color rgb="FFCFC8C6"/>
      </bottom>
      <diagonal/>
    </border>
    <border>
      <left/>
      <right style="thin">
        <color rgb="FFCFC8C6"/>
      </right>
      <top style="thin">
        <color rgb="FFCFC8C6"/>
      </top>
      <bottom style="thin">
        <color rgb="FFCFC8C6"/>
      </bottom>
      <diagonal/>
    </border>
    <border>
      <left/>
      <right/>
      <top/>
      <bottom style="medium">
        <color rgb="FFDE5E64"/>
      </bottom>
      <diagonal/>
    </border>
    <border>
      <left style="thin">
        <color rgb="FFE5E1E1"/>
      </left>
      <right style="thin">
        <color rgb="FFE5E1E1"/>
      </right>
      <top style="thin">
        <color rgb="FFE5E1E1"/>
      </top>
      <bottom/>
      <diagonal/>
    </border>
    <border>
      <left style="thin">
        <color rgb="FFE5E1E1"/>
      </left>
      <right style="thin">
        <color rgb="FFE5E1E1"/>
      </right>
      <top/>
      <bottom/>
      <diagonal/>
    </border>
    <border>
      <left style="thin">
        <color rgb="FFE5E1E1"/>
      </left>
      <right style="thin">
        <color rgb="FFE5E1E1"/>
      </right>
      <top/>
      <bottom style="thin">
        <color rgb="FFE5E1E1"/>
      </bottom>
      <diagonal/>
    </border>
    <border>
      <left style="thin">
        <color rgb="FFE5E1E1"/>
      </left>
      <right style="thin">
        <color rgb="FFE5E1E1"/>
      </right>
      <top/>
      <bottom style="hair">
        <color rgb="FFD9D3D1"/>
      </bottom>
      <diagonal/>
    </border>
    <border>
      <left/>
      <right/>
      <top/>
      <bottom style="hair">
        <color rgb="FFD9D3D1"/>
      </bottom>
      <diagonal/>
    </border>
    <border>
      <left/>
      <right/>
      <top/>
      <bottom style="thin">
        <color rgb="FFE5E1E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2" fillId="0" borderId="0" xfId="0" applyFont="1"/>
    <xf numFmtId="0" fontId="33" fillId="0" borderId="0" xfId="0" applyFont="1"/>
    <xf numFmtId="0" fontId="14" fillId="0" borderId="0" xfId="0" applyFont="1"/>
    <xf numFmtId="0" fontId="19" fillId="0" borderId="0" xfId="0" applyFont="1"/>
    <xf numFmtId="0" fontId="26" fillId="0" borderId="0" xfId="0" applyFont="1" applyAlignment="1">
      <alignment horizontal="left"/>
    </xf>
    <xf numFmtId="0" fontId="34" fillId="0" borderId="0" xfId="0" applyFont="1"/>
    <xf numFmtId="0" fontId="35" fillId="0" borderId="11" xfId="0" applyFont="1" applyBorder="1"/>
    <xf numFmtId="166" fontId="19" fillId="0" borderId="11" xfId="0" applyNumberFormat="1" applyFont="1" applyBorder="1" applyAlignment="1">
      <alignment horizontal="left"/>
    </xf>
    <xf numFmtId="49" fontId="19" fillId="0" borderId="11" xfId="0" applyNumberFormat="1" applyFont="1" applyBorder="1" applyAlignment="1">
      <alignment horizontal="left"/>
    </xf>
    <xf numFmtId="1" fontId="19" fillId="0" borderId="11" xfId="0" applyNumberFormat="1" applyFont="1" applyBorder="1" applyAlignment="1">
      <alignment horizontal="left"/>
    </xf>
    <xf numFmtId="164" fontId="19" fillId="0" borderId="11" xfId="0" applyNumberFormat="1" applyFont="1" applyBorder="1" applyAlignment="1">
      <alignment horizontal="left"/>
    </xf>
    <xf numFmtId="0" fontId="5" fillId="0" borderId="0" xfId="0" applyFont="1"/>
    <xf numFmtId="0" fontId="35" fillId="0" borderId="0" xfId="0" applyFont="1"/>
    <xf numFmtId="0" fontId="0" fillId="3" borderId="1" xfId="0" applyFill="1" applyBorder="1"/>
    <xf numFmtId="0" fontId="7" fillId="0" borderId="0" xfId="0" applyFont="1"/>
    <xf numFmtId="0" fontId="0" fillId="5" borderId="1" xfId="0" applyFill="1" applyBorder="1"/>
    <xf numFmtId="0" fontId="0" fillId="4" borderId="1" xfId="0" applyFill="1" applyBorder="1"/>
    <xf numFmtId="0" fontId="36" fillId="0" borderId="0" xfId="0" applyFont="1"/>
    <xf numFmtId="0" fontId="10" fillId="0" borderId="0" xfId="0" applyFont="1" applyAlignment="1">
      <alignment vertical="center"/>
    </xf>
    <xf numFmtId="0" fontId="2" fillId="0" borderId="0" xfId="0" applyFont="1"/>
    <xf numFmtId="0" fontId="14" fillId="0" borderId="5" xfId="0" applyFont="1" applyBorder="1"/>
    <xf numFmtId="0" fontId="0" fillId="0" borderId="5" xfId="0" applyBorder="1"/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167" fontId="7" fillId="0" borderId="0" xfId="0" applyNumberFormat="1" applyFont="1" applyAlignment="1">
      <alignment horizontal="center" vertical="center"/>
    </xf>
    <xf numFmtId="167" fontId="3" fillId="4" borderId="0" xfId="0" applyNumberFormat="1" applyFont="1" applyFill="1" applyAlignment="1">
      <alignment horizontal="center"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5" borderId="0" xfId="0" applyFill="1"/>
    <xf numFmtId="0" fontId="23" fillId="0" borderId="0" xfId="0" applyFont="1"/>
    <xf numFmtId="0" fontId="0" fillId="4" borderId="0" xfId="0" applyFill="1"/>
    <xf numFmtId="0" fontId="24" fillId="0" borderId="0" xfId="0" applyFont="1" applyAlignment="1">
      <alignment vertical="center"/>
    </xf>
    <xf numFmtId="0" fontId="25" fillId="6" borderId="0" xfId="0" applyFont="1" applyFill="1" applyAlignment="1">
      <alignment horizontal="center" vertical="center"/>
    </xf>
    <xf numFmtId="0" fontId="25" fillId="7" borderId="0" xfId="0" applyFont="1" applyFill="1" applyAlignment="1">
      <alignment horizontal="center" vertical="center"/>
    </xf>
    <xf numFmtId="167" fontId="27" fillId="0" borderId="6" xfId="0" applyNumberFormat="1" applyFont="1" applyBorder="1" applyAlignment="1">
      <alignment horizontal="left" vertical="top" indent="1"/>
    </xf>
    <xf numFmtId="167" fontId="27" fillId="4" borderId="6" xfId="0" applyNumberFormat="1" applyFont="1" applyFill="1" applyBorder="1" applyAlignment="1">
      <alignment horizontal="left" vertical="top" indent="1"/>
    </xf>
    <xf numFmtId="0" fontId="0" fillId="0" borderId="10" xfId="0" applyBorder="1"/>
    <xf numFmtId="0" fontId="2" fillId="0" borderId="7" xfId="0" applyFont="1" applyBorder="1" applyAlignment="1">
      <alignment horizontal="left" vertical="top" wrapText="1" indent="1"/>
    </xf>
    <xf numFmtId="0" fontId="2" fillId="4" borderId="7" xfId="0" applyFont="1" applyFill="1" applyBorder="1" applyAlignment="1">
      <alignment horizontal="left" vertical="top" wrapText="1" indent="1"/>
    </xf>
    <xf numFmtId="0" fontId="0" fillId="0" borderId="9" xfId="0" applyBorder="1"/>
    <xf numFmtId="0" fontId="0" fillId="4" borderId="9" xfId="0" applyFill="1" applyBorder="1"/>
    <xf numFmtId="0" fontId="0" fillId="0" borderId="8" xfId="0" applyBorder="1"/>
    <xf numFmtId="0" fontId="0" fillId="4" borderId="8" xfId="0" applyFill="1" applyBorder="1"/>
    <xf numFmtId="0" fontId="0" fillId="0" borderId="11" xfId="0" applyBorder="1"/>
    <xf numFmtId="0" fontId="28" fillId="0" borderId="0" xfId="0" applyFont="1"/>
    <xf numFmtId="0" fontId="29" fillId="0" borderId="0" xfId="0" applyFont="1"/>
    <xf numFmtId="0" fontId="30" fillId="6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9" fontId="7" fillId="0" borderId="1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9" fontId="7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/>
    <xf numFmtId="164" fontId="4" fillId="0" borderId="0" xfId="0" applyNumberFormat="1" applyFont="1"/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textRotation="90" wrapText="1"/>
    </xf>
    <xf numFmtId="164" fontId="0" fillId="0" borderId="1" xfId="0" applyNumberForma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9" fillId="0" borderId="0" xfId="0" applyFont="1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168" fontId="21" fillId="0" borderId="0" xfId="0" applyNumberFormat="1" applyFont="1" applyAlignment="1">
      <alignment horizontal="left" vertical="center"/>
    </xf>
    <xf numFmtId="0" fontId="0" fillId="0" borderId="0" xfId="0"/>
    <xf numFmtId="0" fontId="11" fillId="0" borderId="0" xfId="0" applyFont="1" applyAlignment="1">
      <alignment horizontal="right" vertical="center"/>
    </xf>
    <xf numFmtId="0" fontId="13" fillId="3" borderId="2" xfId="0" applyFont="1" applyFill="1" applyBorder="1" applyAlignment="1">
      <alignment horizontal="left" vertical="center" indent="1"/>
    </xf>
    <xf numFmtId="0" fontId="0" fillId="3" borderId="3" xfId="0" applyFill="1" applyBorder="1"/>
    <xf numFmtId="0" fontId="0" fillId="3" borderId="4" xfId="0" applyFill="1" applyBorder="1"/>
    <xf numFmtId="0" fontId="12" fillId="3" borderId="2" xfId="0" applyFont="1" applyFill="1" applyBorder="1" applyAlignment="1">
      <alignment horizontal="left" vertical="center" indent="1"/>
    </xf>
    <xf numFmtId="0" fontId="26" fillId="2" borderId="6" xfId="0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</cellXfs>
  <cellStyles count="1">
    <cellStyle name="Standard" xfId="0" builtinId="0"/>
  </cellStyles>
  <dxfs count="161">
    <dxf>
      <font>
        <i/>
        <color rgb="FFB0A9A7"/>
      </font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ont>
        <b/>
        <color rgb="FF8A1F2B"/>
      </font>
    </dxf>
    <dxf>
      <border>
        <left style="thin">
          <color rgb="FFE5E1E1"/>
        </left>
        <right style="thin">
          <color rgb="FFE5E1E1"/>
        </right>
        <top style="thin">
          <color rgb="FFE5E1E1"/>
        </top>
        <bottom style="thin">
          <color rgb="FFE5E1E1"/>
        </bottom>
      </border>
    </dxf>
    <dxf>
      <fill>
        <patternFill patternType="solid">
          <fgColor rgb="FFFBF8F7"/>
          <bgColor rgb="FFFBF8F7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9F7F6"/>
          <bgColor rgb="FFF9F7F6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561975</xdr:colOff>
      <xdr:row>0</xdr:row>
      <xdr:rowOff>85725</xdr:rowOff>
    </xdr:from>
    <xdr:ext cx="142875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561975</xdr:colOff>
      <xdr:row>0</xdr:row>
      <xdr:rowOff>85725</xdr:rowOff>
    </xdr:from>
    <xdr:ext cx="142875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561975</xdr:colOff>
      <xdr:row>0</xdr:row>
      <xdr:rowOff>85725</xdr:rowOff>
    </xdr:from>
    <xdr:ext cx="142875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561975</xdr:colOff>
      <xdr:row>0</xdr:row>
      <xdr:rowOff>85725</xdr:rowOff>
    </xdr:from>
    <xdr:ext cx="142875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561975</xdr:colOff>
      <xdr:row>0</xdr:row>
      <xdr:rowOff>85725</xdr:rowOff>
    </xdr:from>
    <xdr:ext cx="142875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561975</xdr:colOff>
      <xdr:row>0</xdr:row>
      <xdr:rowOff>85725</xdr:rowOff>
    </xdr:from>
    <xdr:ext cx="142875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561975</xdr:colOff>
      <xdr:row>0</xdr:row>
      <xdr:rowOff>85725</xdr:rowOff>
    </xdr:from>
    <xdr:ext cx="142875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561975</xdr:colOff>
      <xdr:row>0</xdr:row>
      <xdr:rowOff>85725</xdr:rowOff>
    </xdr:from>
    <xdr:ext cx="142875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561975</xdr:colOff>
      <xdr:row>0</xdr:row>
      <xdr:rowOff>85725</xdr:rowOff>
    </xdr:from>
    <xdr:ext cx="142875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561975</xdr:colOff>
      <xdr:row>0</xdr:row>
      <xdr:rowOff>85725</xdr:rowOff>
    </xdr:from>
    <xdr:ext cx="142875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561975</xdr:colOff>
      <xdr:row>0</xdr:row>
      <xdr:rowOff>85725</xdr:rowOff>
    </xdr:from>
    <xdr:ext cx="142875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561975</xdr:colOff>
      <xdr:row>0</xdr:row>
      <xdr:rowOff>85725</xdr:rowOff>
    </xdr:from>
    <xdr:ext cx="142875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minaron.de/seminar/excel-kurs-formeln-und-funktionen/" TargetMode="External"/><Relationship Id="rId1" Type="http://schemas.openxmlformats.org/officeDocument/2006/relationships/hyperlink" Target="https://seminaron.de/kalender-2027-excel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2023"/>
    <pageSetUpPr fitToPage="1"/>
  </sheetPr>
  <dimension ref="B2:D38"/>
  <sheetViews>
    <sheetView showGridLines="0" workbookViewId="0"/>
  </sheetViews>
  <sheetFormatPr baseColWidth="10" defaultColWidth="9.140625" defaultRowHeight="15" x14ac:dyDescent="0.25"/>
  <cols>
    <col min="1" max="1" width="3" customWidth="1"/>
    <col min="2" max="2" width="34" customWidth="1"/>
    <col min="3" max="3" width="22" customWidth="1"/>
    <col min="4" max="4" width="52" customWidth="1"/>
  </cols>
  <sheetData>
    <row r="2" spans="2:4" ht="31.5" x14ac:dyDescent="0.5">
      <c r="B2" s="1" t="str">
        <f>"Kalender "&amp;Jahr&amp;" für Excel"</f>
        <v>Kalender 2027 für Excel</v>
      </c>
    </row>
    <row r="3" spans="2:4" x14ac:dyDescent="0.25">
      <c r="B3" s="2" t="s">
        <v>26</v>
      </c>
    </row>
    <row r="5" spans="2:4" ht="17.25" x14ac:dyDescent="0.3">
      <c r="B5" s="3" t="s">
        <v>27</v>
      </c>
    </row>
    <row r="6" spans="2:4" x14ac:dyDescent="0.25">
      <c r="B6" s="4" t="s">
        <v>0</v>
      </c>
      <c r="C6" s="5">
        <f>Jahr</f>
        <v>2027</v>
      </c>
      <c r="D6" s="6" t="s">
        <v>28</v>
      </c>
    </row>
    <row r="7" spans="2:4" x14ac:dyDescent="0.25">
      <c r="B7" s="4" t="s">
        <v>1</v>
      </c>
      <c r="C7" s="5" t="str">
        <f>Bundesland</f>
        <v>Nordrhein-Westfalen</v>
      </c>
    </row>
    <row r="9" spans="2:4" ht="17.25" x14ac:dyDescent="0.3">
      <c r="B9" s="3" t="s">
        <v>29</v>
      </c>
    </row>
    <row r="10" spans="2:4" x14ac:dyDescent="0.25">
      <c r="B10" s="7" t="s">
        <v>30</v>
      </c>
      <c r="C10" s="8">
        <f>DATE(Jahr,1,1)</f>
        <v>46388</v>
      </c>
    </row>
    <row r="11" spans="2:4" x14ac:dyDescent="0.25">
      <c r="B11" s="7" t="s">
        <v>31</v>
      </c>
      <c r="C11" s="9" t="str">
        <f>IF(DAY(DATE(Jahr,3,0))=29,"ja","nein")</f>
        <v>nein</v>
      </c>
    </row>
    <row r="12" spans="2:4" x14ac:dyDescent="0.25">
      <c r="B12" s="7" t="s">
        <v>32</v>
      </c>
      <c r="C12" s="10">
        <f>_xlfn.ISOWEEKNUM(DATE(Jahr,12,28))</f>
        <v>52</v>
      </c>
    </row>
    <row r="13" spans="2:4" x14ac:dyDescent="0.25">
      <c r="B13" s="7" t="s">
        <v>33</v>
      </c>
      <c r="C13" s="11">
        <f>Ostern</f>
        <v>46474</v>
      </c>
    </row>
    <row r="14" spans="2:4" x14ac:dyDescent="0.25">
      <c r="B14" s="7" t="s">
        <v>34</v>
      </c>
      <c r="C14" s="11">
        <f>DATE(Jahr,3,31)-MOD(WEEKDAY(DATE(Jahr,3,31),2),7)</f>
        <v>46474</v>
      </c>
    </row>
    <row r="15" spans="2:4" x14ac:dyDescent="0.25">
      <c r="B15" s="7" t="s">
        <v>35</v>
      </c>
      <c r="C15" s="11">
        <f>DATE(Jahr,10,31)-MOD(WEEKDAY(DATE(Jahr,10,31),2),7)</f>
        <v>46691</v>
      </c>
    </row>
    <row r="16" spans="2:4" x14ac:dyDescent="0.25">
      <c r="B16" s="7" t="s">
        <v>36</v>
      </c>
      <c r="C16" s="10">
        <f>COUNTIF(Feiertage_aktiv,"&gt;0")</f>
        <v>11</v>
      </c>
    </row>
    <row r="17" spans="2:4" x14ac:dyDescent="0.25">
      <c r="B17" s="7" t="s">
        <v>37</v>
      </c>
      <c r="C17" s="10">
        <f>SUMPRODUCT((Feiertage_aktiv&gt;0)*(WEEKDAY(Feiertage_aktiv,2)&lt;6))</f>
        <v>7</v>
      </c>
    </row>
    <row r="18" spans="2:4" x14ac:dyDescent="0.25">
      <c r="B18" s="7" t="s">
        <v>38</v>
      </c>
      <c r="C18" s="10">
        <f>NETWORKDAYS(DATE(Jahr,1,1),DATE(Jahr,12,31))</f>
        <v>261</v>
      </c>
    </row>
    <row r="19" spans="2:4" x14ac:dyDescent="0.25">
      <c r="B19" s="7" t="s">
        <v>39</v>
      </c>
      <c r="C19" s="10">
        <f>NETWORKDAYS(DATE(Jahr,1,1),DATE(Jahr,12,31),Feiertage_aktiv)</f>
        <v>254</v>
      </c>
      <c r="D19" s="12" t="s">
        <v>40</v>
      </c>
    </row>
    <row r="21" spans="2:4" ht="17.25" x14ac:dyDescent="0.3">
      <c r="B21" s="3" t="s">
        <v>41</v>
      </c>
    </row>
    <row r="22" spans="2:4" x14ac:dyDescent="0.25">
      <c r="B22" s="13" t="s">
        <v>42</v>
      </c>
    </row>
    <row r="23" spans="2:4" x14ac:dyDescent="0.25">
      <c r="B23" s="13" t="s">
        <v>43</v>
      </c>
    </row>
    <row r="24" spans="2:4" x14ac:dyDescent="0.25">
      <c r="B24" s="13" t="s">
        <v>44</v>
      </c>
    </row>
    <row r="25" spans="2:4" x14ac:dyDescent="0.25">
      <c r="B25" s="13" t="s">
        <v>45</v>
      </c>
    </row>
    <row r="26" spans="2:4" x14ac:dyDescent="0.25">
      <c r="B26" s="13" t="s">
        <v>46</v>
      </c>
    </row>
    <row r="27" spans="2:4" x14ac:dyDescent="0.25">
      <c r="B27" s="13" t="s">
        <v>47</v>
      </c>
    </row>
    <row r="28" spans="2:4" x14ac:dyDescent="0.25">
      <c r="B28" s="13" t="s">
        <v>48</v>
      </c>
    </row>
    <row r="29" spans="2:4" x14ac:dyDescent="0.25">
      <c r="B29" s="13" t="s">
        <v>49</v>
      </c>
    </row>
    <row r="31" spans="2:4" ht="17.25" x14ac:dyDescent="0.3">
      <c r="B31" s="3" t="s">
        <v>50</v>
      </c>
    </row>
    <row r="32" spans="2:4" x14ac:dyDescent="0.25">
      <c r="B32" s="14"/>
      <c r="C32" s="15" t="s">
        <v>51</v>
      </c>
    </row>
    <row r="33" spans="2:3" x14ac:dyDescent="0.25">
      <c r="B33" s="16"/>
      <c r="C33" s="15" t="s">
        <v>52</v>
      </c>
    </row>
    <row r="34" spans="2:3" x14ac:dyDescent="0.25">
      <c r="B34" s="17"/>
      <c r="C34" s="15" t="s">
        <v>24</v>
      </c>
    </row>
    <row r="36" spans="2:3" x14ac:dyDescent="0.25">
      <c r="B36" s="6" t="s">
        <v>53</v>
      </c>
    </row>
    <row r="37" spans="2:3" x14ac:dyDescent="0.25">
      <c r="B37" s="6" t="s">
        <v>54</v>
      </c>
    </row>
    <row r="38" spans="2:3" x14ac:dyDescent="0.25">
      <c r="B38" s="18" t="s">
        <v>55</v>
      </c>
    </row>
  </sheetData>
  <hyperlinks>
    <hyperlink ref="D6" location="Jahreskalender!AA1" display="Ändern: oben rechts im Blatt „Jahreskalender“ (gelbe Felder)" xr:uid="{00000000-0004-0000-0000-000000000000}"/>
    <hyperlink ref="B36" r:id="rId1" xr:uid="{00000000-0004-0000-0000-000001000000}"/>
    <hyperlink ref="B37" r:id="rId2" xr:uid="{00000000-0004-0000-0000-000002000000}"/>
  </hyperlinks>
  <printOptions horizontalCentered="1"/>
  <pageMargins left="0.4" right="0.4" top="0.45" bottom="0.55000000000000004" header="0.2" footer="0.25"/>
  <pageSetup paperSize="9" orientation="portrait"/>
  <headerFooter>
    <oddFooter>&amp;C&amp;8 &amp;K686E70Vorlage von seminaron.de&amp;R&amp;8 &amp;K686E70&amp;A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E5E64"/>
    <pageSetUpPr fitToPage="1"/>
  </sheetPr>
  <dimension ref="A1:AI38"/>
  <sheetViews>
    <sheetView showGridLines="0" tabSelected="1" workbookViewId="0"/>
  </sheetViews>
  <sheetFormatPr baseColWidth="10" defaultColWidth="9.140625" defaultRowHeight="15" x14ac:dyDescent="0.25"/>
  <cols>
    <col min="1" max="1" width="3.5703125" customWidth="1"/>
    <col min="2" max="8" width="4.140625" customWidth="1"/>
    <col min="9" max="9" width="2.140625" customWidth="1"/>
    <col min="10" max="10" width="3.5703125" customWidth="1"/>
    <col min="11" max="17" width="4.140625" customWidth="1"/>
    <col min="18" max="18" width="2.140625" customWidth="1"/>
    <col min="19" max="19" width="3.5703125" customWidth="1"/>
    <col min="20" max="26" width="4.140625" customWidth="1"/>
    <col min="27" max="27" width="2.140625" customWidth="1"/>
    <col min="28" max="28" width="3.5703125" customWidth="1"/>
    <col min="29" max="35" width="4.140625" customWidth="1"/>
  </cols>
  <sheetData>
    <row r="1" spans="1:35" ht="38.1" customHeight="1" x14ac:dyDescent="0.25">
      <c r="A1" s="19" t="str">
        <f>"Kalender "&amp;Jahr</f>
        <v>Kalender 2027</v>
      </c>
      <c r="W1" s="76" t="s">
        <v>0</v>
      </c>
      <c r="X1" s="75"/>
      <c r="Y1" s="75"/>
      <c r="Z1" s="75"/>
      <c r="AA1" s="80">
        <v>2027</v>
      </c>
      <c r="AB1" s="78"/>
      <c r="AC1" s="78"/>
      <c r="AD1" s="78"/>
      <c r="AE1" s="78"/>
      <c r="AF1" s="78"/>
      <c r="AG1" s="78"/>
      <c r="AH1" s="78"/>
      <c r="AI1" s="79"/>
    </row>
    <row r="2" spans="1:35" ht="20.100000000000001" customHeight="1" x14ac:dyDescent="0.25">
      <c r="A2" s="20" t="str">
        <f>"Feiertage rot: "&amp;Bundesland&amp;" · KW = Kalenderwoche nach ISO 8601"</f>
        <v>Feiertage rot: Nordrhein-Westfalen · KW = Kalenderwoche nach ISO 8601</v>
      </c>
      <c r="W2" s="76" t="s">
        <v>1</v>
      </c>
      <c r="X2" s="75"/>
      <c r="Y2" s="75"/>
      <c r="Z2" s="75"/>
      <c r="AA2" s="77" t="s">
        <v>2</v>
      </c>
      <c r="AB2" s="78"/>
      <c r="AC2" s="78"/>
      <c r="AD2" s="78"/>
      <c r="AE2" s="78"/>
      <c r="AF2" s="78"/>
      <c r="AG2" s="78"/>
      <c r="AH2" s="78"/>
      <c r="AI2" s="79"/>
    </row>
    <row r="3" spans="1:35" ht="8.1" customHeight="1" x14ac:dyDescent="0.25"/>
    <row r="4" spans="1:35" ht="21" customHeight="1" x14ac:dyDescent="0.3">
      <c r="A4" s="21" t="s">
        <v>3</v>
      </c>
      <c r="B4" s="22"/>
      <c r="C4" s="22"/>
      <c r="D4" s="22"/>
      <c r="E4" s="22"/>
      <c r="F4" s="22"/>
      <c r="G4" s="22"/>
      <c r="H4" s="22"/>
      <c r="J4" s="21" t="s">
        <v>4</v>
      </c>
      <c r="K4" s="22"/>
      <c r="L4" s="22"/>
      <c r="M4" s="22"/>
      <c r="N4" s="22"/>
      <c r="O4" s="22"/>
      <c r="P4" s="22"/>
      <c r="Q4" s="22"/>
      <c r="S4" s="21" t="s">
        <v>5</v>
      </c>
      <c r="T4" s="22"/>
      <c r="U4" s="22"/>
      <c r="V4" s="22"/>
      <c r="W4" s="22"/>
      <c r="X4" s="22"/>
      <c r="Y4" s="22"/>
      <c r="Z4" s="22"/>
      <c r="AB4" s="21" t="s">
        <v>6</v>
      </c>
      <c r="AC4" s="22"/>
      <c r="AD4" s="22"/>
      <c r="AE4" s="22"/>
      <c r="AF4" s="22"/>
      <c r="AG4" s="22"/>
      <c r="AH4" s="22"/>
      <c r="AI4" s="22"/>
    </row>
    <row r="5" spans="1:35" ht="14.1" customHeight="1" x14ac:dyDescent="0.25">
      <c r="A5" s="23" t="s">
        <v>7</v>
      </c>
      <c r="B5" s="24" t="s">
        <v>8</v>
      </c>
      <c r="C5" s="24" t="s">
        <v>9</v>
      </c>
      <c r="D5" s="24" t="s">
        <v>10</v>
      </c>
      <c r="E5" s="24" t="s">
        <v>11</v>
      </c>
      <c r="F5" s="24" t="s">
        <v>12</v>
      </c>
      <c r="G5" s="25" t="s">
        <v>13</v>
      </c>
      <c r="H5" s="25" t="s">
        <v>14</v>
      </c>
      <c r="J5" s="23" t="s">
        <v>7</v>
      </c>
      <c r="K5" s="24" t="s">
        <v>8</v>
      </c>
      <c r="L5" s="24" t="s">
        <v>9</v>
      </c>
      <c r="M5" s="24" t="s">
        <v>10</v>
      </c>
      <c r="N5" s="24" t="s">
        <v>11</v>
      </c>
      <c r="O5" s="24" t="s">
        <v>12</v>
      </c>
      <c r="P5" s="25" t="s">
        <v>13</v>
      </c>
      <c r="Q5" s="25" t="s">
        <v>14</v>
      </c>
      <c r="S5" s="23" t="s">
        <v>7</v>
      </c>
      <c r="T5" s="24" t="s">
        <v>8</v>
      </c>
      <c r="U5" s="24" t="s">
        <v>9</v>
      </c>
      <c r="V5" s="24" t="s">
        <v>10</v>
      </c>
      <c r="W5" s="24" t="s">
        <v>11</v>
      </c>
      <c r="X5" s="24" t="s">
        <v>12</v>
      </c>
      <c r="Y5" s="25" t="s">
        <v>13</v>
      </c>
      <c r="Z5" s="25" t="s">
        <v>14</v>
      </c>
      <c r="AB5" s="23" t="s">
        <v>7</v>
      </c>
      <c r="AC5" s="24" t="s">
        <v>8</v>
      </c>
      <c r="AD5" s="24" t="s">
        <v>9</v>
      </c>
      <c r="AE5" s="24" t="s">
        <v>10</v>
      </c>
      <c r="AF5" s="24" t="s">
        <v>11</v>
      </c>
      <c r="AG5" s="24" t="s">
        <v>12</v>
      </c>
      <c r="AH5" s="25" t="s">
        <v>13</v>
      </c>
      <c r="AI5" s="25" t="s">
        <v>14</v>
      </c>
    </row>
    <row r="6" spans="1:35" ht="16.5" customHeight="1" x14ac:dyDescent="0.25">
      <c r="A6" s="26">
        <f>IF(OR(MONTH((DATE(Jahr,1,1)-WEEKDAY(DATE(Jahr,1,1),2)+1)+0)=1,MONTH((DATE(Jahr,1,1)-WEEKDAY(DATE(Jahr,1,1),2)+1)+0+6)=1),_xlfn.ISOWEEKNUM((DATE(Jahr,1,1)-WEEKDAY(DATE(Jahr,1,1),2)+1)+0),"")</f>
        <v>53</v>
      </c>
      <c r="B6" s="27" t="str">
        <f>IF(MONTH((DATE(Jahr,1,1)-WEEKDAY(DATE(Jahr,1,1),2)+1)+0)=1,(DATE(Jahr,1,1)-WEEKDAY(DATE(Jahr,1,1),2)+1)+0,"")</f>
        <v/>
      </c>
      <c r="C6" s="27" t="str">
        <f>IF(MONTH((DATE(Jahr,1,1)-WEEKDAY(DATE(Jahr,1,1),2)+1)+1)=1,(DATE(Jahr,1,1)-WEEKDAY(DATE(Jahr,1,1),2)+1)+1,"")</f>
        <v/>
      </c>
      <c r="D6" s="27" t="str">
        <f>IF(MONTH((DATE(Jahr,1,1)-WEEKDAY(DATE(Jahr,1,1),2)+1)+2)=1,(DATE(Jahr,1,1)-WEEKDAY(DATE(Jahr,1,1),2)+1)+2,"")</f>
        <v/>
      </c>
      <c r="E6" s="27" t="str">
        <f>IF(MONTH((DATE(Jahr,1,1)-WEEKDAY(DATE(Jahr,1,1),2)+1)+3)=1,(DATE(Jahr,1,1)-WEEKDAY(DATE(Jahr,1,1),2)+1)+3,"")</f>
        <v/>
      </c>
      <c r="F6" s="27">
        <f>IF(MONTH((DATE(Jahr,1,1)-WEEKDAY(DATE(Jahr,1,1),2)+1)+4)=1,(DATE(Jahr,1,1)-WEEKDAY(DATE(Jahr,1,1),2)+1)+4,"")</f>
        <v>46388</v>
      </c>
      <c r="G6" s="28">
        <f>IF(MONTH((DATE(Jahr,1,1)-WEEKDAY(DATE(Jahr,1,1),2)+1)+5)=1,(DATE(Jahr,1,1)-WEEKDAY(DATE(Jahr,1,1),2)+1)+5,"")</f>
        <v>46389</v>
      </c>
      <c r="H6" s="28">
        <f>IF(MONTH((DATE(Jahr,1,1)-WEEKDAY(DATE(Jahr,1,1),2)+1)+6)=1,(DATE(Jahr,1,1)-WEEKDAY(DATE(Jahr,1,1),2)+1)+6,"")</f>
        <v>46390</v>
      </c>
      <c r="J6" s="26">
        <f>IF(OR(MONTH((DATE(Jahr,2,1)-WEEKDAY(DATE(Jahr,2,1),2)+1)+0)=2,MONTH((DATE(Jahr,2,1)-WEEKDAY(DATE(Jahr,2,1),2)+1)+0+6)=2),_xlfn.ISOWEEKNUM((DATE(Jahr,2,1)-WEEKDAY(DATE(Jahr,2,1),2)+1)+0),"")</f>
        <v>5</v>
      </c>
      <c r="K6" s="27">
        <f>IF(MONTH((DATE(Jahr,2,1)-WEEKDAY(DATE(Jahr,2,1),2)+1)+0)=2,(DATE(Jahr,2,1)-WEEKDAY(DATE(Jahr,2,1),2)+1)+0,"")</f>
        <v>46419</v>
      </c>
      <c r="L6" s="27">
        <f>IF(MONTH((DATE(Jahr,2,1)-WEEKDAY(DATE(Jahr,2,1),2)+1)+1)=2,(DATE(Jahr,2,1)-WEEKDAY(DATE(Jahr,2,1),2)+1)+1,"")</f>
        <v>46420</v>
      </c>
      <c r="M6" s="27">
        <f>IF(MONTH((DATE(Jahr,2,1)-WEEKDAY(DATE(Jahr,2,1),2)+1)+2)=2,(DATE(Jahr,2,1)-WEEKDAY(DATE(Jahr,2,1),2)+1)+2,"")</f>
        <v>46421</v>
      </c>
      <c r="N6" s="27">
        <f>IF(MONTH((DATE(Jahr,2,1)-WEEKDAY(DATE(Jahr,2,1),2)+1)+3)=2,(DATE(Jahr,2,1)-WEEKDAY(DATE(Jahr,2,1),2)+1)+3,"")</f>
        <v>46422</v>
      </c>
      <c r="O6" s="27">
        <f>IF(MONTH((DATE(Jahr,2,1)-WEEKDAY(DATE(Jahr,2,1),2)+1)+4)=2,(DATE(Jahr,2,1)-WEEKDAY(DATE(Jahr,2,1),2)+1)+4,"")</f>
        <v>46423</v>
      </c>
      <c r="P6" s="28">
        <f>IF(MONTH((DATE(Jahr,2,1)-WEEKDAY(DATE(Jahr,2,1),2)+1)+5)=2,(DATE(Jahr,2,1)-WEEKDAY(DATE(Jahr,2,1),2)+1)+5,"")</f>
        <v>46424</v>
      </c>
      <c r="Q6" s="28">
        <f>IF(MONTH((DATE(Jahr,2,1)-WEEKDAY(DATE(Jahr,2,1),2)+1)+6)=2,(DATE(Jahr,2,1)-WEEKDAY(DATE(Jahr,2,1),2)+1)+6,"")</f>
        <v>46425</v>
      </c>
      <c r="S6" s="26">
        <f>IF(OR(MONTH((DATE(Jahr,3,1)-WEEKDAY(DATE(Jahr,3,1),2)+1)+0)=3,MONTH((DATE(Jahr,3,1)-WEEKDAY(DATE(Jahr,3,1),2)+1)+0+6)=3),_xlfn.ISOWEEKNUM((DATE(Jahr,3,1)-WEEKDAY(DATE(Jahr,3,1),2)+1)+0),"")</f>
        <v>9</v>
      </c>
      <c r="T6" s="27">
        <f>IF(MONTH((DATE(Jahr,3,1)-WEEKDAY(DATE(Jahr,3,1),2)+1)+0)=3,(DATE(Jahr,3,1)-WEEKDAY(DATE(Jahr,3,1),2)+1)+0,"")</f>
        <v>46447</v>
      </c>
      <c r="U6" s="27">
        <f>IF(MONTH((DATE(Jahr,3,1)-WEEKDAY(DATE(Jahr,3,1),2)+1)+1)=3,(DATE(Jahr,3,1)-WEEKDAY(DATE(Jahr,3,1),2)+1)+1,"")</f>
        <v>46448</v>
      </c>
      <c r="V6" s="27">
        <f>IF(MONTH((DATE(Jahr,3,1)-WEEKDAY(DATE(Jahr,3,1),2)+1)+2)=3,(DATE(Jahr,3,1)-WEEKDAY(DATE(Jahr,3,1),2)+1)+2,"")</f>
        <v>46449</v>
      </c>
      <c r="W6" s="27">
        <f>IF(MONTH((DATE(Jahr,3,1)-WEEKDAY(DATE(Jahr,3,1),2)+1)+3)=3,(DATE(Jahr,3,1)-WEEKDAY(DATE(Jahr,3,1),2)+1)+3,"")</f>
        <v>46450</v>
      </c>
      <c r="X6" s="27">
        <f>IF(MONTH((DATE(Jahr,3,1)-WEEKDAY(DATE(Jahr,3,1),2)+1)+4)=3,(DATE(Jahr,3,1)-WEEKDAY(DATE(Jahr,3,1),2)+1)+4,"")</f>
        <v>46451</v>
      </c>
      <c r="Y6" s="28">
        <f>IF(MONTH((DATE(Jahr,3,1)-WEEKDAY(DATE(Jahr,3,1),2)+1)+5)=3,(DATE(Jahr,3,1)-WEEKDAY(DATE(Jahr,3,1),2)+1)+5,"")</f>
        <v>46452</v>
      </c>
      <c r="Z6" s="28">
        <f>IF(MONTH((DATE(Jahr,3,1)-WEEKDAY(DATE(Jahr,3,1),2)+1)+6)=3,(DATE(Jahr,3,1)-WEEKDAY(DATE(Jahr,3,1),2)+1)+6,"")</f>
        <v>46453</v>
      </c>
      <c r="AB6" s="26">
        <f>IF(OR(MONTH((DATE(Jahr,4,1)-WEEKDAY(DATE(Jahr,4,1),2)+1)+0)=4,MONTH((DATE(Jahr,4,1)-WEEKDAY(DATE(Jahr,4,1),2)+1)+0+6)=4),_xlfn.ISOWEEKNUM((DATE(Jahr,4,1)-WEEKDAY(DATE(Jahr,4,1),2)+1)+0),"")</f>
        <v>13</v>
      </c>
      <c r="AC6" s="27" t="str">
        <f>IF(MONTH((DATE(Jahr,4,1)-WEEKDAY(DATE(Jahr,4,1),2)+1)+0)=4,(DATE(Jahr,4,1)-WEEKDAY(DATE(Jahr,4,1),2)+1)+0,"")</f>
        <v/>
      </c>
      <c r="AD6" s="27" t="str">
        <f>IF(MONTH((DATE(Jahr,4,1)-WEEKDAY(DATE(Jahr,4,1),2)+1)+1)=4,(DATE(Jahr,4,1)-WEEKDAY(DATE(Jahr,4,1),2)+1)+1,"")</f>
        <v/>
      </c>
      <c r="AE6" s="27" t="str">
        <f>IF(MONTH((DATE(Jahr,4,1)-WEEKDAY(DATE(Jahr,4,1),2)+1)+2)=4,(DATE(Jahr,4,1)-WEEKDAY(DATE(Jahr,4,1),2)+1)+2,"")</f>
        <v/>
      </c>
      <c r="AF6" s="27">
        <f>IF(MONTH((DATE(Jahr,4,1)-WEEKDAY(DATE(Jahr,4,1),2)+1)+3)=4,(DATE(Jahr,4,1)-WEEKDAY(DATE(Jahr,4,1),2)+1)+3,"")</f>
        <v>46478</v>
      </c>
      <c r="AG6" s="27">
        <f>IF(MONTH((DATE(Jahr,4,1)-WEEKDAY(DATE(Jahr,4,1),2)+1)+4)=4,(DATE(Jahr,4,1)-WEEKDAY(DATE(Jahr,4,1),2)+1)+4,"")</f>
        <v>46479</v>
      </c>
      <c r="AH6" s="28">
        <f>IF(MONTH((DATE(Jahr,4,1)-WEEKDAY(DATE(Jahr,4,1),2)+1)+5)=4,(DATE(Jahr,4,1)-WEEKDAY(DATE(Jahr,4,1),2)+1)+5,"")</f>
        <v>46480</v>
      </c>
      <c r="AI6" s="28">
        <f>IF(MONTH((DATE(Jahr,4,1)-WEEKDAY(DATE(Jahr,4,1),2)+1)+6)=4,(DATE(Jahr,4,1)-WEEKDAY(DATE(Jahr,4,1),2)+1)+6,"")</f>
        <v>46481</v>
      </c>
    </row>
    <row r="7" spans="1:35" ht="16.5" customHeight="1" x14ac:dyDescent="0.25">
      <c r="A7" s="26">
        <f>IF(OR(MONTH((DATE(Jahr,1,1)-WEEKDAY(DATE(Jahr,1,1),2)+1)+7)=1,MONTH((DATE(Jahr,1,1)-WEEKDAY(DATE(Jahr,1,1),2)+1)+7+6)=1),_xlfn.ISOWEEKNUM((DATE(Jahr,1,1)-WEEKDAY(DATE(Jahr,1,1),2)+1)+7),"")</f>
        <v>1</v>
      </c>
      <c r="B7" s="27">
        <f>IF(MONTH((DATE(Jahr,1,1)-WEEKDAY(DATE(Jahr,1,1),2)+1)+7)=1,(DATE(Jahr,1,1)-WEEKDAY(DATE(Jahr,1,1),2)+1)+7,"")</f>
        <v>46391</v>
      </c>
      <c r="C7" s="27">
        <f>IF(MONTH((DATE(Jahr,1,1)-WEEKDAY(DATE(Jahr,1,1),2)+1)+8)=1,(DATE(Jahr,1,1)-WEEKDAY(DATE(Jahr,1,1),2)+1)+8,"")</f>
        <v>46392</v>
      </c>
      <c r="D7" s="27">
        <f>IF(MONTH((DATE(Jahr,1,1)-WEEKDAY(DATE(Jahr,1,1),2)+1)+9)=1,(DATE(Jahr,1,1)-WEEKDAY(DATE(Jahr,1,1),2)+1)+9,"")</f>
        <v>46393</v>
      </c>
      <c r="E7" s="27">
        <f>IF(MONTH((DATE(Jahr,1,1)-WEEKDAY(DATE(Jahr,1,1),2)+1)+10)=1,(DATE(Jahr,1,1)-WEEKDAY(DATE(Jahr,1,1),2)+1)+10,"")</f>
        <v>46394</v>
      </c>
      <c r="F7" s="27">
        <f>IF(MONTH((DATE(Jahr,1,1)-WEEKDAY(DATE(Jahr,1,1),2)+1)+11)=1,(DATE(Jahr,1,1)-WEEKDAY(DATE(Jahr,1,1),2)+1)+11,"")</f>
        <v>46395</v>
      </c>
      <c r="G7" s="28">
        <f>IF(MONTH((DATE(Jahr,1,1)-WEEKDAY(DATE(Jahr,1,1),2)+1)+12)=1,(DATE(Jahr,1,1)-WEEKDAY(DATE(Jahr,1,1),2)+1)+12,"")</f>
        <v>46396</v>
      </c>
      <c r="H7" s="28">
        <f>IF(MONTH((DATE(Jahr,1,1)-WEEKDAY(DATE(Jahr,1,1),2)+1)+13)=1,(DATE(Jahr,1,1)-WEEKDAY(DATE(Jahr,1,1),2)+1)+13,"")</f>
        <v>46397</v>
      </c>
      <c r="J7" s="26">
        <f>IF(OR(MONTH((DATE(Jahr,2,1)-WEEKDAY(DATE(Jahr,2,1),2)+1)+7)=2,MONTH((DATE(Jahr,2,1)-WEEKDAY(DATE(Jahr,2,1),2)+1)+7+6)=2),_xlfn.ISOWEEKNUM((DATE(Jahr,2,1)-WEEKDAY(DATE(Jahr,2,1),2)+1)+7),"")</f>
        <v>6</v>
      </c>
      <c r="K7" s="27">
        <f>IF(MONTH((DATE(Jahr,2,1)-WEEKDAY(DATE(Jahr,2,1),2)+1)+7)=2,(DATE(Jahr,2,1)-WEEKDAY(DATE(Jahr,2,1),2)+1)+7,"")</f>
        <v>46426</v>
      </c>
      <c r="L7" s="27">
        <f>IF(MONTH((DATE(Jahr,2,1)-WEEKDAY(DATE(Jahr,2,1),2)+1)+8)=2,(DATE(Jahr,2,1)-WEEKDAY(DATE(Jahr,2,1),2)+1)+8,"")</f>
        <v>46427</v>
      </c>
      <c r="M7" s="27">
        <f>IF(MONTH((DATE(Jahr,2,1)-WEEKDAY(DATE(Jahr,2,1),2)+1)+9)=2,(DATE(Jahr,2,1)-WEEKDAY(DATE(Jahr,2,1),2)+1)+9,"")</f>
        <v>46428</v>
      </c>
      <c r="N7" s="27">
        <f>IF(MONTH((DATE(Jahr,2,1)-WEEKDAY(DATE(Jahr,2,1),2)+1)+10)=2,(DATE(Jahr,2,1)-WEEKDAY(DATE(Jahr,2,1),2)+1)+10,"")</f>
        <v>46429</v>
      </c>
      <c r="O7" s="27">
        <f>IF(MONTH((DATE(Jahr,2,1)-WEEKDAY(DATE(Jahr,2,1),2)+1)+11)=2,(DATE(Jahr,2,1)-WEEKDAY(DATE(Jahr,2,1),2)+1)+11,"")</f>
        <v>46430</v>
      </c>
      <c r="P7" s="28">
        <f>IF(MONTH((DATE(Jahr,2,1)-WEEKDAY(DATE(Jahr,2,1),2)+1)+12)=2,(DATE(Jahr,2,1)-WEEKDAY(DATE(Jahr,2,1),2)+1)+12,"")</f>
        <v>46431</v>
      </c>
      <c r="Q7" s="28">
        <f>IF(MONTH((DATE(Jahr,2,1)-WEEKDAY(DATE(Jahr,2,1),2)+1)+13)=2,(DATE(Jahr,2,1)-WEEKDAY(DATE(Jahr,2,1),2)+1)+13,"")</f>
        <v>46432</v>
      </c>
      <c r="S7" s="26">
        <f>IF(OR(MONTH((DATE(Jahr,3,1)-WEEKDAY(DATE(Jahr,3,1),2)+1)+7)=3,MONTH((DATE(Jahr,3,1)-WEEKDAY(DATE(Jahr,3,1),2)+1)+7+6)=3),_xlfn.ISOWEEKNUM((DATE(Jahr,3,1)-WEEKDAY(DATE(Jahr,3,1),2)+1)+7),"")</f>
        <v>10</v>
      </c>
      <c r="T7" s="27">
        <f>IF(MONTH((DATE(Jahr,3,1)-WEEKDAY(DATE(Jahr,3,1),2)+1)+7)=3,(DATE(Jahr,3,1)-WEEKDAY(DATE(Jahr,3,1),2)+1)+7,"")</f>
        <v>46454</v>
      </c>
      <c r="U7" s="27">
        <f>IF(MONTH((DATE(Jahr,3,1)-WEEKDAY(DATE(Jahr,3,1),2)+1)+8)=3,(DATE(Jahr,3,1)-WEEKDAY(DATE(Jahr,3,1),2)+1)+8,"")</f>
        <v>46455</v>
      </c>
      <c r="V7" s="27">
        <f>IF(MONTH((DATE(Jahr,3,1)-WEEKDAY(DATE(Jahr,3,1),2)+1)+9)=3,(DATE(Jahr,3,1)-WEEKDAY(DATE(Jahr,3,1),2)+1)+9,"")</f>
        <v>46456</v>
      </c>
      <c r="W7" s="27">
        <f>IF(MONTH((DATE(Jahr,3,1)-WEEKDAY(DATE(Jahr,3,1),2)+1)+10)=3,(DATE(Jahr,3,1)-WEEKDAY(DATE(Jahr,3,1),2)+1)+10,"")</f>
        <v>46457</v>
      </c>
      <c r="X7" s="27">
        <f>IF(MONTH((DATE(Jahr,3,1)-WEEKDAY(DATE(Jahr,3,1),2)+1)+11)=3,(DATE(Jahr,3,1)-WEEKDAY(DATE(Jahr,3,1),2)+1)+11,"")</f>
        <v>46458</v>
      </c>
      <c r="Y7" s="28">
        <f>IF(MONTH((DATE(Jahr,3,1)-WEEKDAY(DATE(Jahr,3,1),2)+1)+12)=3,(DATE(Jahr,3,1)-WEEKDAY(DATE(Jahr,3,1),2)+1)+12,"")</f>
        <v>46459</v>
      </c>
      <c r="Z7" s="28">
        <f>IF(MONTH((DATE(Jahr,3,1)-WEEKDAY(DATE(Jahr,3,1),2)+1)+13)=3,(DATE(Jahr,3,1)-WEEKDAY(DATE(Jahr,3,1),2)+1)+13,"")</f>
        <v>46460</v>
      </c>
      <c r="AB7" s="26">
        <f>IF(OR(MONTH((DATE(Jahr,4,1)-WEEKDAY(DATE(Jahr,4,1),2)+1)+7)=4,MONTH((DATE(Jahr,4,1)-WEEKDAY(DATE(Jahr,4,1),2)+1)+7+6)=4),_xlfn.ISOWEEKNUM((DATE(Jahr,4,1)-WEEKDAY(DATE(Jahr,4,1),2)+1)+7),"")</f>
        <v>14</v>
      </c>
      <c r="AC7" s="27">
        <f>IF(MONTH((DATE(Jahr,4,1)-WEEKDAY(DATE(Jahr,4,1),2)+1)+7)=4,(DATE(Jahr,4,1)-WEEKDAY(DATE(Jahr,4,1),2)+1)+7,"")</f>
        <v>46482</v>
      </c>
      <c r="AD7" s="27">
        <f>IF(MONTH((DATE(Jahr,4,1)-WEEKDAY(DATE(Jahr,4,1),2)+1)+8)=4,(DATE(Jahr,4,1)-WEEKDAY(DATE(Jahr,4,1),2)+1)+8,"")</f>
        <v>46483</v>
      </c>
      <c r="AE7" s="27">
        <f>IF(MONTH((DATE(Jahr,4,1)-WEEKDAY(DATE(Jahr,4,1),2)+1)+9)=4,(DATE(Jahr,4,1)-WEEKDAY(DATE(Jahr,4,1),2)+1)+9,"")</f>
        <v>46484</v>
      </c>
      <c r="AF7" s="27">
        <f>IF(MONTH((DATE(Jahr,4,1)-WEEKDAY(DATE(Jahr,4,1),2)+1)+10)=4,(DATE(Jahr,4,1)-WEEKDAY(DATE(Jahr,4,1),2)+1)+10,"")</f>
        <v>46485</v>
      </c>
      <c r="AG7" s="27">
        <f>IF(MONTH((DATE(Jahr,4,1)-WEEKDAY(DATE(Jahr,4,1),2)+1)+11)=4,(DATE(Jahr,4,1)-WEEKDAY(DATE(Jahr,4,1),2)+1)+11,"")</f>
        <v>46486</v>
      </c>
      <c r="AH7" s="28">
        <f>IF(MONTH((DATE(Jahr,4,1)-WEEKDAY(DATE(Jahr,4,1),2)+1)+12)=4,(DATE(Jahr,4,1)-WEEKDAY(DATE(Jahr,4,1),2)+1)+12,"")</f>
        <v>46487</v>
      </c>
      <c r="AI7" s="28">
        <f>IF(MONTH((DATE(Jahr,4,1)-WEEKDAY(DATE(Jahr,4,1),2)+1)+13)=4,(DATE(Jahr,4,1)-WEEKDAY(DATE(Jahr,4,1),2)+1)+13,"")</f>
        <v>46488</v>
      </c>
    </row>
    <row r="8" spans="1:35" ht="16.5" customHeight="1" x14ac:dyDescent="0.25">
      <c r="A8" s="26">
        <f>IF(OR(MONTH((DATE(Jahr,1,1)-WEEKDAY(DATE(Jahr,1,1),2)+1)+14)=1,MONTH((DATE(Jahr,1,1)-WEEKDAY(DATE(Jahr,1,1),2)+1)+14+6)=1),_xlfn.ISOWEEKNUM((DATE(Jahr,1,1)-WEEKDAY(DATE(Jahr,1,1),2)+1)+14),"")</f>
        <v>2</v>
      </c>
      <c r="B8" s="27">
        <f>IF(MONTH((DATE(Jahr,1,1)-WEEKDAY(DATE(Jahr,1,1),2)+1)+14)=1,(DATE(Jahr,1,1)-WEEKDAY(DATE(Jahr,1,1),2)+1)+14,"")</f>
        <v>46398</v>
      </c>
      <c r="C8" s="27">
        <f>IF(MONTH((DATE(Jahr,1,1)-WEEKDAY(DATE(Jahr,1,1),2)+1)+15)=1,(DATE(Jahr,1,1)-WEEKDAY(DATE(Jahr,1,1),2)+1)+15,"")</f>
        <v>46399</v>
      </c>
      <c r="D8" s="27">
        <f>IF(MONTH((DATE(Jahr,1,1)-WEEKDAY(DATE(Jahr,1,1),2)+1)+16)=1,(DATE(Jahr,1,1)-WEEKDAY(DATE(Jahr,1,1),2)+1)+16,"")</f>
        <v>46400</v>
      </c>
      <c r="E8" s="27">
        <f>IF(MONTH((DATE(Jahr,1,1)-WEEKDAY(DATE(Jahr,1,1),2)+1)+17)=1,(DATE(Jahr,1,1)-WEEKDAY(DATE(Jahr,1,1),2)+1)+17,"")</f>
        <v>46401</v>
      </c>
      <c r="F8" s="27">
        <f>IF(MONTH((DATE(Jahr,1,1)-WEEKDAY(DATE(Jahr,1,1),2)+1)+18)=1,(DATE(Jahr,1,1)-WEEKDAY(DATE(Jahr,1,1),2)+1)+18,"")</f>
        <v>46402</v>
      </c>
      <c r="G8" s="28">
        <f>IF(MONTH((DATE(Jahr,1,1)-WEEKDAY(DATE(Jahr,1,1),2)+1)+19)=1,(DATE(Jahr,1,1)-WEEKDAY(DATE(Jahr,1,1),2)+1)+19,"")</f>
        <v>46403</v>
      </c>
      <c r="H8" s="28">
        <f>IF(MONTH((DATE(Jahr,1,1)-WEEKDAY(DATE(Jahr,1,1),2)+1)+20)=1,(DATE(Jahr,1,1)-WEEKDAY(DATE(Jahr,1,1),2)+1)+20,"")</f>
        <v>46404</v>
      </c>
      <c r="J8" s="26">
        <f>IF(OR(MONTH((DATE(Jahr,2,1)-WEEKDAY(DATE(Jahr,2,1),2)+1)+14)=2,MONTH((DATE(Jahr,2,1)-WEEKDAY(DATE(Jahr,2,1),2)+1)+14+6)=2),_xlfn.ISOWEEKNUM((DATE(Jahr,2,1)-WEEKDAY(DATE(Jahr,2,1),2)+1)+14),"")</f>
        <v>7</v>
      </c>
      <c r="K8" s="27">
        <f>IF(MONTH((DATE(Jahr,2,1)-WEEKDAY(DATE(Jahr,2,1),2)+1)+14)=2,(DATE(Jahr,2,1)-WEEKDAY(DATE(Jahr,2,1),2)+1)+14,"")</f>
        <v>46433</v>
      </c>
      <c r="L8" s="27">
        <f>IF(MONTH((DATE(Jahr,2,1)-WEEKDAY(DATE(Jahr,2,1),2)+1)+15)=2,(DATE(Jahr,2,1)-WEEKDAY(DATE(Jahr,2,1),2)+1)+15,"")</f>
        <v>46434</v>
      </c>
      <c r="M8" s="27">
        <f>IF(MONTH((DATE(Jahr,2,1)-WEEKDAY(DATE(Jahr,2,1),2)+1)+16)=2,(DATE(Jahr,2,1)-WEEKDAY(DATE(Jahr,2,1),2)+1)+16,"")</f>
        <v>46435</v>
      </c>
      <c r="N8" s="27">
        <f>IF(MONTH((DATE(Jahr,2,1)-WEEKDAY(DATE(Jahr,2,1),2)+1)+17)=2,(DATE(Jahr,2,1)-WEEKDAY(DATE(Jahr,2,1),2)+1)+17,"")</f>
        <v>46436</v>
      </c>
      <c r="O8" s="27">
        <f>IF(MONTH((DATE(Jahr,2,1)-WEEKDAY(DATE(Jahr,2,1),2)+1)+18)=2,(DATE(Jahr,2,1)-WEEKDAY(DATE(Jahr,2,1),2)+1)+18,"")</f>
        <v>46437</v>
      </c>
      <c r="P8" s="28">
        <f>IF(MONTH((DATE(Jahr,2,1)-WEEKDAY(DATE(Jahr,2,1),2)+1)+19)=2,(DATE(Jahr,2,1)-WEEKDAY(DATE(Jahr,2,1),2)+1)+19,"")</f>
        <v>46438</v>
      </c>
      <c r="Q8" s="28">
        <f>IF(MONTH((DATE(Jahr,2,1)-WEEKDAY(DATE(Jahr,2,1),2)+1)+20)=2,(DATE(Jahr,2,1)-WEEKDAY(DATE(Jahr,2,1),2)+1)+20,"")</f>
        <v>46439</v>
      </c>
      <c r="S8" s="26">
        <f>IF(OR(MONTH((DATE(Jahr,3,1)-WEEKDAY(DATE(Jahr,3,1),2)+1)+14)=3,MONTH((DATE(Jahr,3,1)-WEEKDAY(DATE(Jahr,3,1),2)+1)+14+6)=3),_xlfn.ISOWEEKNUM((DATE(Jahr,3,1)-WEEKDAY(DATE(Jahr,3,1),2)+1)+14),"")</f>
        <v>11</v>
      </c>
      <c r="T8" s="27">
        <f>IF(MONTH((DATE(Jahr,3,1)-WEEKDAY(DATE(Jahr,3,1),2)+1)+14)=3,(DATE(Jahr,3,1)-WEEKDAY(DATE(Jahr,3,1),2)+1)+14,"")</f>
        <v>46461</v>
      </c>
      <c r="U8" s="27">
        <f>IF(MONTH((DATE(Jahr,3,1)-WEEKDAY(DATE(Jahr,3,1),2)+1)+15)=3,(DATE(Jahr,3,1)-WEEKDAY(DATE(Jahr,3,1),2)+1)+15,"")</f>
        <v>46462</v>
      </c>
      <c r="V8" s="27">
        <f>IF(MONTH((DATE(Jahr,3,1)-WEEKDAY(DATE(Jahr,3,1),2)+1)+16)=3,(DATE(Jahr,3,1)-WEEKDAY(DATE(Jahr,3,1),2)+1)+16,"")</f>
        <v>46463</v>
      </c>
      <c r="W8" s="27">
        <f>IF(MONTH((DATE(Jahr,3,1)-WEEKDAY(DATE(Jahr,3,1),2)+1)+17)=3,(DATE(Jahr,3,1)-WEEKDAY(DATE(Jahr,3,1),2)+1)+17,"")</f>
        <v>46464</v>
      </c>
      <c r="X8" s="27">
        <f>IF(MONTH((DATE(Jahr,3,1)-WEEKDAY(DATE(Jahr,3,1),2)+1)+18)=3,(DATE(Jahr,3,1)-WEEKDAY(DATE(Jahr,3,1),2)+1)+18,"")</f>
        <v>46465</v>
      </c>
      <c r="Y8" s="28">
        <f>IF(MONTH((DATE(Jahr,3,1)-WEEKDAY(DATE(Jahr,3,1),2)+1)+19)=3,(DATE(Jahr,3,1)-WEEKDAY(DATE(Jahr,3,1),2)+1)+19,"")</f>
        <v>46466</v>
      </c>
      <c r="Z8" s="28">
        <f>IF(MONTH((DATE(Jahr,3,1)-WEEKDAY(DATE(Jahr,3,1),2)+1)+20)=3,(DATE(Jahr,3,1)-WEEKDAY(DATE(Jahr,3,1),2)+1)+20,"")</f>
        <v>46467</v>
      </c>
      <c r="AB8" s="26">
        <f>IF(OR(MONTH((DATE(Jahr,4,1)-WEEKDAY(DATE(Jahr,4,1),2)+1)+14)=4,MONTH((DATE(Jahr,4,1)-WEEKDAY(DATE(Jahr,4,1),2)+1)+14+6)=4),_xlfn.ISOWEEKNUM((DATE(Jahr,4,1)-WEEKDAY(DATE(Jahr,4,1),2)+1)+14),"")</f>
        <v>15</v>
      </c>
      <c r="AC8" s="27">
        <f>IF(MONTH((DATE(Jahr,4,1)-WEEKDAY(DATE(Jahr,4,1),2)+1)+14)=4,(DATE(Jahr,4,1)-WEEKDAY(DATE(Jahr,4,1),2)+1)+14,"")</f>
        <v>46489</v>
      </c>
      <c r="AD8" s="27">
        <f>IF(MONTH((DATE(Jahr,4,1)-WEEKDAY(DATE(Jahr,4,1),2)+1)+15)=4,(DATE(Jahr,4,1)-WEEKDAY(DATE(Jahr,4,1),2)+1)+15,"")</f>
        <v>46490</v>
      </c>
      <c r="AE8" s="27">
        <f>IF(MONTH((DATE(Jahr,4,1)-WEEKDAY(DATE(Jahr,4,1),2)+1)+16)=4,(DATE(Jahr,4,1)-WEEKDAY(DATE(Jahr,4,1),2)+1)+16,"")</f>
        <v>46491</v>
      </c>
      <c r="AF8" s="27">
        <f>IF(MONTH((DATE(Jahr,4,1)-WEEKDAY(DATE(Jahr,4,1),2)+1)+17)=4,(DATE(Jahr,4,1)-WEEKDAY(DATE(Jahr,4,1),2)+1)+17,"")</f>
        <v>46492</v>
      </c>
      <c r="AG8" s="27">
        <f>IF(MONTH((DATE(Jahr,4,1)-WEEKDAY(DATE(Jahr,4,1),2)+1)+18)=4,(DATE(Jahr,4,1)-WEEKDAY(DATE(Jahr,4,1),2)+1)+18,"")</f>
        <v>46493</v>
      </c>
      <c r="AH8" s="28">
        <f>IF(MONTH((DATE(Jahr,4,1)-WEEKDAY(DATE(Jahr,4,1),2)+1)+19)=4,(DATE(Jahr,4,1)-WEEKDAY(DATE(Jahr,4,1),2)+1)+19,"")</f>
        <v>46494</v>
      </c>
      <c r="AI8" s="28">
        <f>IF(MONTH((DATE(Jahr,4,1)-WEEKDAY(DATE(Jahr,4,1),2)+1)+20)=4,(DATE(Jahr,4,1)-WEEKDAY(DATE(Jahr,4,1),2)+1)+20,"")</f>
        <v>46495</v>
      </c>
    </row>
    <row r="9" spans="1:35" ht="16.5" customHeight="1" x14ac:dyDescent="0.25">
      <c r="A9" s="26">
        <f>IF(OR(MONTH((DATE(Jahr,1,1)-WEEKDAY(DATE(Jahr,1,1),2)+1)+21)=1,MONTH((DATE(Jahr,1,1)-WEEKDAY(DATE(Jahr,1,1),2)+1)+21+6)=1),_xlfn.ISOWEEKNUM((DATE(Jahr,1,1)-WEEKDAY(DATE(Jahr,1,1),2)+1)+21),"")</f>
        <v>3</v>
      </c>
      <c r="B9" s="27">
        <f>IF(MONTH((DATE(Jahr,1,1)-WEEKDAY(DATE(Jahr,1,1),2)+1)+21)=1,(DATE(Jahr,1,1)-WEEKDAY(DATE(Jahr,1,1),2)+1)+21,"")</f>
        <v>46405</v>
      </c>
      <c r="C9" s="27">
        <f>IF(MONTH((DATE(Jahr,1,1)-WEEKDAY(DATE(Jahr,1,1),2)+1)+22)=1,(DATE(Jahr,1,1)-WEEKDAY(DATE(Jahr,1,1),2)+1)+22,"")</f>
        <v>46406</v>
      </c>
      <c r="D9" s="27">
        <f>IF(MONTH((DATE(Jahr,1,1)-WEEKDAY(DATE(Jahr,1,1),2)+1)+23)=1,(DATE(Jahr,1,1)-WEEKDAY(DATE(Jahr,1,1),2)+1)+23,"")</f>
        <v>46407</v>
      </c>
      <c r="E9" s="27">
        <f>IF(MONTH((DATE(Jahr,1,1)-WEEKDAY(DATE(Jahr,1,1),2)+1)+24)=1,(DATE(Jahr,1,1)-WEEKDAY(DATE(Jahr,1,1),2)+1)+24,"")</f>
        <v>46408</v>
      </c>
      <c r="F9" s="27">
        <f>IF(MONTH((DATE(Jahr,1,1)-WEEKDAY(DATE(Jahr,1,1),2)+1)+25)=1,(DATE(Jahr,1,1)-WEEKDAY(DATE(Jahr,1,1),2)+1)+25,"")</f>
        <v>46409</v>
      </c>
      <c r="G9" s="28">
        <f>IF(MONTH((DATE(Jahr,1,1)-WEEKDAY(DATE(Jahr,1,1),2)+1)+26)=1,(DATE(Jahr,1,1)-WEEKDAY(DATE(Jahr,1,1),2)+1)+26,"")</f>
        <v>46410</v>
      </c>
      <c r="H9" s="28">
        <f>IF(MONTH((DATE(Jahr,1,1)-WEEKDAY(DATE(Jahr,1,1),2)+1)+27)=1,(DATE(Jahr,1,1)-WEEKDAY(DATE(Jahr,1,1),2)+1)+27,"")</f>
        <v>46411</v>
      </c>
      <c r="J9" s="26">
        <f>IF(OR(MONTH((DATE(Jahr,2,1)-WEEKDAY(DATE(Jahr,2,1),2)+1)+21)=2,MONTH((DATE(Jahr,2,1)-WEEKDAY(DATE(Jahr,2,1),2)+1)+21+6)=2),_xlfn.ISOWEEKNUM((DATE(Jahr,2,1)-WEEKDAY(DATE(Jahr,2,1),2)+1)+21),"")</f>
        <v>8</v>
      </c>
      <c r="K9" s="27">
        <f>IF(MONTH((DATE(Jahr,2,1)-WEEKDAY(DATE(Jahr,2,1),2)+1)+21)=2,(DATE(Jahr,2,1)-WEEKDAY(DATE(Jahr,2,1),2)+1)+21,"")</f>
        <v>46440</v>
      </c>
      <c r="L9" s="27">
        <f>IF(MONTH((DATE(Jahr,2,1)-WEEKDAY(DATE(Jahr,2,1),2)+1)+22)=2,(DATE(Jahr,2,1)-WEEKDAY(DATE(Jahr,2,1),2)+1)+22,"")</f>
        <v>46441</v>
      </c>
      <c r="M9" s="27">
        <f>IF(MONTH((DATE(Jahr,2,1)-WEEKDAY(DATE(Jahr,2,1),2)+1)+23)=2,(DATE(Jahr,2,1)-WEEKDAY(DATE(Jahr,2,1),2)+1)+23,"")</f>
        <v>46442</v>
      </c>
      <c r="N9" s="27">
        <f>IF(MONTH((DATE(Jahr,2,1)-WEEKDAY(DATE(Jahr,2,1),2)+1)+24)=2,(DATE(Jahr,2,1)-WEEKDAY(DATE(Jahr,2,1),2)+1)+24,"")</f>
        <v>46443</v>
      </c>
      <c r="O9" s="27">
        <f>IF(MONTH((DATE(Jahr,2,1)-WEEKDAY(DATE(Jahr,2,1),2)+1)+25)=2,(DATE(Jahr,2,1)-WEEKDAY(DATE(Jahr,2,1),2)+1)+25,"")</f>
        <v>46444</v>
      </c>
      <c r="P9" s="28">
        <f>IF(MONTH((DATE(Jahr,2,1)-WEEKDAY(DATE(Jahr,2,1),2)+1)+26)=2,(DATE(Jahr,2,1)-WEEKDAY(DATE(Jahr,2,1),2)+1)+26,"")</f>
        <v>46445</v>
      </c>
      <c r="Q9" s="28">
        <f>IF(MONTH((DATE(Jahr,2,1)-WEEKDAY(DATE(Jahr,2,1),2)+1)+27)=2,(DATE(Jahr,2,1)-WEEKDAY(DATE(Jahr,2,1),2)+1)+27,"")</f>
        <v>46446</v>
      </c>
      <c r="S9" s="26">
        <f>IF(OR(MONTH((DATE(Jahr,3,1)-WEEKDAY(DATE(Jahr,3,1),2)+1)+21)=3,MONTH((DATE(Jahr,3,1)-WEEKDAY(DATE(Jahr,3,1),2)+1)+21+6)=3),_xlfn.ISOWEEKNUM((DATE(Jahr,3,1)-WEEKDAY(DATE(Jahr,3,1),2)+1)+21),"")</f>
        <v>12</v>
      </c>
      <c r="T9" s="27">
        <f>IF(MONTH((DATE(Jahr,3,1)-WEEKDAY(DATE(Jahr,3,1),2)+1)+21)=3,(DATE(Jahr,3,1)-WEEKDAY(DATE(Jahr,3,1),2)+1)+21,"")</f>
        <v>46468</v>
      </c>
      <c r="U9" s="27">
        <f>IF(MONTH((DATE(Jahr,3,1)-WEEKDAY(DATE(Jahr,3,1),2)+1)+22)=3,(DATE(Jahr,3,1)-WEEKDAY(DATE(Jahr,3,1),2)+1)+22,"")</f>
        <v>46469</v>
      </c>
      <c r="V9" s="27">
        <f>IF(MONTH((DATE(Jahr,3,1)-WEEKDAY(DATE(Jahr,3,1),2)+1)+23)=3,(DATE(Jahr,3,1)-WEEKDAY(DATE(Jahr,3,1),2)+1)+23,"")</f>
        <v>46470</v>
      </c>
      <c r="W9" s="27">
        <f>IF(MONTH((DATE(Jahr,3,1)-WEEKDAY(DATE(Jahr,3,1),2)+1)+24)=3,(DATE(Jahr,3,1)-WEEKDAY(DATE(Jahr,3,1),2)+1)+24,"")</f>
        <v>46471</v>
      </c>
      <c r="X9" s="27">
        <f>IF(MONTH((DATE(Jahr,3,1)-WEEKDAY(DATE(Jahr,3,1),2)+1)+25)=3,(DATE(Jahr,3,1)-WEEKDAY(DATE(Jahr,3,1),2)+1)+25,"")</f>
        <v>46472</v>
      </c>
      <c r="Y9" s="28">
        <f>IF(MONTH((DATE(Jahr,3,1)-WEEKDAY(DATE(Jahr,3,1),2)+1)+26)=3,(DATE(Jahr,3,1)-WEEKDAY(DATE(Jahr,3,1),2)+1)+26,"")</f>
        <v>46473</v>
      </c>
      <c r="Z9" s="28">
        <f>IF(MONTH((DATE(Jahr,3,1)-WEEKDAY(DATE(Jahr,3,1),2)+1)+27)=3,(DATE(Jahr,3,1)-WEEKDAY(DATE(Jahr,3,1),2)+1)+27,"")</f>
        <v>46474</v>
      </c>
      <c r="AB9" s="26">
        <f>IF(OR(MONTH((DATE(Jahr,4,1)-WEEKDAY(DATE(Jahr,4,1),2)+1)+21)=4,MONTH((DATE(Jahr,4,1)-WEEKDAY(DATE(Jahr,4,1),2)+1)+21+6)=4),_xlfn.ISOWEEKNUM((DATE(Jahr,4,1)-WEEKDAY(DATE(Jahr,4,1),2)+1)+21),"")</f>
        <v>16</v>
      </c>
      <c r="AC9" s="27">
        <f>IF(MONTH((DATE(Jahr,4,1)-WEEKDAY(DATE(Jahr,4,1),2)+1)+21)=4,(DATE(Jahr,4,1)-WEEKDAY(DATE(Jahr,4,1),2)+1)+21,"")</f>
        <v>46496</v>
      </c>
      <c r="AD9" s="27">
        <f>IF(MONTH((DATE(Jahr,4,1)-WEEKDAY(DATE(Jahr,4,1),2)+1)+22)=4,(DATE(Jahr,4,1)-WEEKDAY(DATE(Jahr,4,1),2)+1)+22,"")</f>
        <v>46497</v>
      </c>
      <c r="AE9" s="27">
        <f>IF(MONTH((DATE(Jahr,4,1)-WEEKDAY(DATE(Jahr,4,1),2)+1)+23)=4,(DATE(Jahr,4,1)-WEEKDAY(DATE(Jahr,4,1),2)+1)+23,"")</f>
        <v>46498</v>
      </c>
      <c r="AF9" s="27">
        <f>IF(MONTH((DATE(Jahr,4,1)-WEEKDAY(DATE(Jahr,4,1),2)+1)+24)=4,(DATE(Jahr,4,1)-WEEKDAY(DATE(Jahr,4,1),2)+1)+24,"")</f>
        <v>46499</v>
      </c>
      <c r="AG9" s="27">
        <f>IF(MONTH((DATE(Jahr,4,1)-WEEKDAY(DATE(Jahr,4,1),2)+1)+25)=4,(DATE(Jahr,4,1)-WEEKDAY(DATE(Jahr,4,1),2)+1)+25,"")</f>
        <v>46500</v>
      </c>
      <c r="AH9" s="28">
        <f>IF(MONTH((DATE(Jahr,4,1)-WEEKDAY(DATE(Jahr,4,1),2)+1)+26)=4,(DATE(Jahr,4,1)-WEEKDAY(DATE(Jahr,4,1),2)+1)+26,"")</f>
        <v>46501</v>
      </c>
      <c r="AI9" s="28">
        <f>IF(MONTH((DATE(Jahr,4,1)-WEEKDAY(DATE(Jahr,4,1),2)+1)+27)=4,(DATE(Jahr,4,1)-WEEKDAY(DATE(Jahr,4,1),2)+1)+27,"")</f>
        <v>46502</v>
      </c>
    </row>
    <row r="10" spans="1:35" ht="16.5" customHeight="1" x14ac:dyDescent="0.25">
      <c r="A10" s="26">
        <f>IF(OR(MONTH((DATE(Jahr,1,1)-WEEKDAY(DATE(Jahr,1,1),2)+1)+28)=1,MONTH((DATE(Jahr,1,1)-WEEKDAY(DATE(Jahr,1,1),2)+1)+28+6)=1),_xlfn.ISOWEEKNUM((DATE(Jahr,1,1)-WEEKDAY(DATE(Jahr,1,1),2)+1)+28),"")</f>
        <v>4</v>
      </c>
      <c r="B10" s="27">
        <f>IF(MONTH((DATE(Jahr,1,1)-WEEKDAY(DATE(Jahr,1,1),2)+1)+28)=1,(DATE(Jahr,1,1)-WEEKDAY(DATE(Jahr,1,1),2)+1)+28,"")</f>
        <v>46412</v>
      </c>
      <c r="C10" s="27">
        <f>IF(MONTH((DATE(Jahr,1,1)-WEEKDAY(DATE(Jahr,1,1),2)+1)+29)=1,(DATE(Jahr,1,1)-WEEKDAY(DATE(Jahr,1,1),2)+1)+29,"")</f>
        <v>46413</v>
      </c>
      <c r="D10" s="27">
        <f>IF(MONTH((DATE(Jahr,1,1)-WEEKDAY(DATE(Jahr,1,1),2)+1)+30)=1,(DATE(Jahr,1,1)-WEEKDAY(DATE(Jahr,1,1),2)+1)+30,"")</f>
        <v>46414</v>
      </c>
      <c r="E10" s="27">
        <f>IF(MONTH((DATE(Jahr,1,1)-WEEKDAY(DATE(Jahr,1,1),2)+1)+31)=1,(DATE(Jahr,1,1)-WEEKDAY(DATE(Jahr,1,1),2)+1)+31,"")</f>
        <v>46415</v>
      </c>
      <c r="F10" s="27">
        <f>IF(MONTH((DATE(Jahr,1,1)-WEEKDAY(DATE(Jahr,1,1),2)+1)+32)=1,(DATE(Jahr,1,1)-WEEKDAY(DATE(Jahr,1,1),2)+1)+32,"")</f>
        <v>46416</v>
      </c>
      <c r="G10" s="28">
        <f>IF(MONTH((DATE(Jahr,1,1)-WEEKDAY(DATE(Jahr,1,1),2)+1)+33)=1,(DATE(Jahr,1,1)-WEEKDAY(DATE(Jahr,1,1),2)+1)+33,"")</f>
        <v>46417</v>
      </c>
      <c r="H10" s="28">
        <f>IF(MONTH((DATE(Jahr,1,1)-WEEKDAY(DATE(Jahr,1,1),2)+1)+34)=1,(DATE(Jahr,1,1)-WEEKDAY(DATE(Jahr,1,1),2)+1)+34,"")</f>
        <v>46418</v>
      </c>
      <c r="J10" s="26" t="str">
        <f>IF(OR(MONTH((DATE(Jahr,2,1)-WEEKDAY(DATE(Jahr,2,1),2)+1)+28)=2,MONTH((DATE(Jahr,2,1)-WEEKDAY(DATE(Jahr,2,1),2)+1)+28+6)=2),_xlfn.ISOWEEKNUM((DATE(Jahr,2,1)-WEEKDAY(DATE(Jahr,2,1),2)+1)+28),"")</f>
        <v/>
      </c>
      <c r="K10" s="27" t="str">
        <f>IF(MONTH((DATE(Jahr,2,1)-WEEKDAY(DATE(Jahr,2,1),2)+1)+28)=2,(DATE(Jahr,2,1)-WEEKDAY(DATE(Jahr,2,1),2)+1)+28,"")</f>
        <v/>
      </c>
      <c r="L10" s="27" t="str">
        <f>IF(MONTH((DATE(Jahr,2,1)-WEEKDAY(DATE(Jahr,2,1),2)+1)+29)=2,(DATE(Jahr,2,1)-WEEKDAY(DATE(Jahr,2,1),2)+1)+29,"")</f>
        <v/>
      </c>
      <c r="M10" s="27" t="str">
        <f>IF(MONTH((DATE(Jahr,2,1)-WEEKDAY(DATE(Jahr,2,1),2)+1)+30)=2,(DATE(Jahr,2,1)-WEEKDAY(DATE(Jahr,2,1),2)+1)+30,"")</f>
        <v/>
      </c>
      <c r="N10" s="27" t="str">
        <f>IF(MONTH((DATE(Jahr,2,1)-WEEKDAY(DATE(Jahr,2,1),2)+1)+31)=2,(DATE(Jahr,2,1)-WEEKDAY(DATE(Jahr,2,1),2)+1)+31,"")</f>
        <v/>
      </c>
      <c r="O10" s="27" t="str">
        <f>IF(MONTH((DATE(Jahr,2,1)-WEEKDAY(DATE(Jahr,2,1),2)+1)+32)=2,(DATE(Jahr,2,1)-WEEKDAY(DATE(Jahr,2,1),2)+1)+32,"")</f>
        <v/>
      </c>
      <c r="P10" s="28" t="str">
        <f>IF(MONTH((DATE(Jahr,2,1)-WEEKDAY(DATE(Jahr,2,1),2)+1)+33)=2,(DATE(Jahr,2,1)-WEEKDAY(DATE(Jahr,2,1),2)+1)+33,"")</f>
        <v/>
      </c>
      <c r="Q10" s="28" t="str">
        <f>IF(MONTH((DATE(Jahr,2,1)-WEEKDAY(DATE(Jahr,2,1),2)+1)+34)=2,(DATE(Jahr,2,1)-WEEKDAY(DATE(Jahr,2,1),2)+1)+34,"")</f>
        <v/>
      </c>
      <c r="S10" s="26">
        <f>IF(OR(MONTH((DATE(Jahr,3,1)-WEEKDAY(DATE(Jahr,3,1),2)+1)+28)=3,MONTH((DATE(Jahr,3,1)-WEEKDAY(DATE(Jahr,3,1),2)+1)+28+6)=3),_xlfn.ISOWEEKNUM((DATE(Jahr,3,1)-WEEKDAY(DATE(Jahr,3,1),2)+1)+28),"")</f>
        <v>13</v>
      </c>
      <c r="T10" s="27">
        <f>IF(MONTH((DATE(Jahr,3,1)-WEEKDAY(DATE(Jahr,3,1),2)+1)+28)=3,(DATE(Jahr,3,1)-WEEKDAY(DATE(Jahr,3,1),2)+1)+28,"")</f>
        <v>46475</v>
      </c>
      <c r="U10" s="27">
        <f>IF(MONTH((DATE(Jahr,3,1)-WEEKDAY(DATE(Jahr,3,1),2)+1)+29)=3,(DATE(Jahr,3,1)-WEEKDAY(DATE(Jahr,3,1),2)+1)+29,"")</f>
        <v>46476</v>
      </c>
      <c r="V10" s="27">
        <f>IF(MONTH((DATE(Jahr,3,1)-WEEKDAY(DATE(Jahr,3,1),2)+1)+30)=3,(DATE(Jahr,3,1)-WEEKDAY(DATE(Jahr,3,1),2)+1)+30,"")</f>
        <v>46477</v>
      </c>
      <c r="W10" s="27" t="str">
        <f>IF(MONTH((DATE(Jahr,3,1)-WEEKDAY(DATE(Jahr,3,1),2)+1)+31)=3,(DATE(Jahr,3,1)-WEEKDAY(DATE(Jahr,3,1),2)+1)+31,"")</f>
        <v/>
      </c>
      <c r="X10" s="27" t="str">
        <f>IF(MONTH((DATE(Jahr,3,1)-WEEKDAY(DATE(Jahr,3,1),2)+1)+32)=3,(DATE(Jahr,3,1)-WEEKDAY(DATE(Jahr,3,1),2)+1)+32,"")</f>
        <v/>
      </c>
      <c r="Y10" s="28" t="str">
        <f>IF(MONTH((DATE(Jahr,3,1)-WEEKDAY(DATE(Jahr,3,1),2)+1)+33)=3,(DATE(Jahr,3,1)-WEEKDAY(DATE(Jahr,3,1),2)+1)+33,"")</f>
        <v/>
      </c>
      <c r="Z10" s="28" t="str">
        <f>IF(MONTH((DATE(Jahr,3,1)-WEEKDAY(DATE(Jahr,3,1),2)+1)+34)=3,(DATE(Jahr,3,1)-WEEKDAY(DATE(Jahr,3,1),2)+1)+34,"")</f>
        <v/>
      </c>
      <c r="AB10" s="26">
        <f>IF(OR(MONTH((DATE(Jahr,4,1)-WEEKDAY(DATE(Jahr,4,1),2)+1)+28)=4,MONTH((DATE(Jahr,4,1)-WEEKDAY(DATE(Jahr,4,1),2)+1)+28+6)=4),_xlfn.ISOWEEKNUM((DATE(Jahr,4,1)-WEEKDAY(DATE(Jahr,4,1),2)+1)+28),"")</f>
        <v>17</v>
      </c>
      <c r="AC10" s="27">
        <f>IF(MONTH((DATE(Jahr,4,1)-WEEKDAY(DATE(Jahr,4,1),2)+1)+28)=4,(DATE(Jahr,4,1)-WEEKDAY(DATE(Jahr,4,1),2)+1)+28,"")</f>
        <v>46503</v>
      </c>
      <c r="AD10" s="27">
        <f>IF(MONTH((DATE(Jahr,4,1)-WEEKDAY(DATE(Jahr,4,1),2)+1)+29)=4,(DATE(Jahr,4,1)-WEEKDAY(DATE(Jahr,4,1),2)+1)+29,"")</f>
        <v>46504</v>
      </c>
      <c r="AE10" s="27">
        <f>IF(MONTH((DATE(Jahr,4,1)-WEEKDAY(DATE(Jahr,4,1),2)+1)+30)=4,(DATE(Jahr,4,1)-WEEKDAY(DATE(Jahr,4,1),2)+1)+30,"")</f>
        <v>46505</v>
      </c>
      <c r="AF10" s="27">
        <f>IF(MONTH((DATE(Jahr,4,1)-WEEKDAY(DATE(Jahr,4,1),2)+1)+31)=4,(DATE(Jahr,4,1)-WEEKDAY(DATE(Jahr,4,1),2)+1)+31,"")</f>
        <v>46506</v>
      </c>
      <c r="AG10" s="27">
        <f>IF(MONTH((DATE(Jahr,4,1)-WEEKDAY(DATE(Jahr,4,1),2)+1)+32)=4,(DATE(Jahr,4,1)-WEEKDAY(DATE(Jahr,4,1),2)+1)+32,"")</f>
        <v>46507</v>
      </c>
      <c r="AH10" s="28" t="str">
        <f>IF(MONTH((DATE(Jahr,4,1)-WEEKDAY(DATE(Jahr,4,1),2)+1)+33)=4,(DATE(Jahr,4,1)-WEEKDAY(DATE(Jahr,4,1),2)+1)+33,"")</f>
        <v/>
      </c>
      <c r="AI10" s="28" t="str">
        <f>IF(MONTH((DATE(Jahr,4,1)-WEEKDAY(DATE(Jahr,4,1),2)+1)+34)=4,(DATE(Jahr,4,1)-WEEKDAY(DATE(Jahr,4,1),2)+1)+34,"")</f>
        <v/>
      </c>
    </row>
    <row r="11" spans="1:35" ht="16.5" customHeight="1" x14ac:dyDescent="0.25">
      <c r="A11" s="26" t="str">
        <f>IF(OR(MONTH((DATE(Jahr,1,1)-WEEKDAY(DATE(Jahr,1,1),2)+1)+35)=1,MONTH((DATE(Jahr,1,1)-WEEKDAY(DATE(Jahr,1,1),2)+1)+35+6)=1),_xlfn.ISOWEEKNUM((DATE(Jahr,1,1)-WEEKDAY(DATE(Jahr,1,1),2)+1)+35),"")</f>
        <v/>
      </c>
      <c r="B11" s="27" t="str">
        <f>IF(MONTH((DATE(Jahr,1,1)-WEEKDAY(DATE(Jahr,1,1),2)+1)+35)=1,(DATE(Jahr,1,1)-WEEKDAY(DATE(Jahr,1,1),2)+1)+35,"")</f>
        <v/>
      </c>
      <c r="C11" s="27" t="str">
        <f>IF(MONTH((DATE(Jahr,1,1)-WEEKDAY(DATE(Jahr,1,1),2)+1)+36)=1,(DATE(Jahr,1,1)-WEEKDAY(DATE(Jahr,1,1),2)+1)+36,"")</f>
        <v/>
      </c>
      <c r="D11" s="27" t="str">
        <f>IF(MONTH((DATE(Jahr,1,1)-WEEKDAY(DATE(Jahr,1,1),2)+1)+37)=1,(DATE(Jahr,1,1)-WEEKDAY(DATE(Jahr,1,1),2)+1)+37,"")</f>
        <v/>
      </c>
      <c r="E11" s="27" t="str">
        <f>IF(MONTH((DATE(Jahr,1,1)-WEEKDAY(DATE(Jahr,1,1),2)+1)+38)=1,(DATE(Jahr,1,1)-WEEKDAY(DATE(Jahr,1,1),2)+1)+38,"")</f>
        <v/>
      </c>
      <c r="F11" s="27" t="str">
        <f>IF(MONTH((DATE(Jahr,1,1)-WEEKDAY(DATE(Jahr,1,1),2)+1)+39)=1,(DATE(Jahr,1,1)-WEEKDAY(DATE(Jahr,1,1),2)+1)+39,"")</f>
        <v/>
      </c>
      <c r="G11" s="28" t="str">
        <f>IF(MONTH((DATE(Jahr,1,1)-WEEKDAY(DATE(Jahr,1,1),2)+1)+40)=1,(DATE(Jahr,1,1)-WEEKDAY(DATE(Jahr,1,1),2)+1)+40,"")</f>
        <v/>
      </c>
      <c r="H11" s="28" t="str">
        <f>IF(MONTH((DATE(Jahr,1,1)-WEEKDAY(DATE(Jahr,1,1),2)+1)+41)=1,(DATE(Jahr,1,1)-WEEKDAY(DATE(Jahr,1,1),2)+1)+41,"")</f>
        <v/>
      </c>
      <c r="J11" s="26" t="str">
        <f>IF(OR(MONTH((DATE(Jahr,2,1)-WEEKDAY(DATE(Jahr,2,1),2)+1)+35)=2,MONTH((DATE(Jahr,2,1)-WEEKDAY(DATE(Jahr,2,1),2)+1)+35+6)=2),_xlfn.ISOWEEKNUM((DATE(Jahr,2,1)-WEEKDAY(DATE(Jahr,2,1),2)+1)+35),"")</f>
        <v/>
      </c>
      <c r="K11" s="27" t="str">
        <f>IF(MONTH((DATE(Jahr,2,1)-WEEKDAY(DATE(Jahr,2,1),2)+1)+35)=2,(DATE(Jahr,2,1)-WEEKDAY(DATE(Jahr,2,1),2)+1)+35,"")</f>
        <v/>
      </c>
      <c r="L11" s="27" t="str">
        <f>IF(MONTH((DATE(Jahr,2,1)-WEEKDAY(DATE(Jahr,2,1),2)+1)+36)=2,(DATE(Jahr,2,1)-WEEKDAY(DATE(Jahr,2,1),2)+1)+36,"")</f>
        <v/>
      </c>
      <c r="M11" s="27" t="str">
        <f>IF(MONTH((DATE(Jahr,2,1)-WEEKDAY(DATE(Jahr,2,1),2)+1)+37)=2,(DATE(Jahr,2,1)-WEEKDAY(DATE(Jahr,2,1),2)+1)+37,"")</f>
        <v/>
      </c>
      <c r="N11" s="27" t="str">
        <f>IF(MONTH((DATE(Jahr,2,1)-WEEKDAY(DATE(Jahr,2,1),2)+1)+38)=2,(DATE(Jahr,2,1)-WEEKDAY(DATE(Jahr,2,1),2)+1)+38,"")</f>
        <v/>
      </c>
      <c r="O11" s="27" t="str">
        <f>IF(MONTH((DATE(Jahr,2,1)-WEEKDAY(DATE(Jahr,2,1),2)+1)+39)=2,(DATE(Jahr,2,1)-WEEKDAY(DATE(Jahr,2,1),2)+1)+39,"")</f>
        <v/>
      </c>
      <c r="P11" s="28" t="str">
        <f>IF(MONTH((DATE(Jahr,2,1)-WEEKDAY(DATE(Jahr,2,1),2)+1)+40)=2,(DATE(Jahr,2,1)-WEEKDAY(DATE(Jahr,2,1),2)+1)+40,"")</f>
        <v/>
      </c>
      <c r="Q11" s="28" t="str">
        <f>IF(MONTH((DATE(Jahr,2,1)-WEEKDAY(DATE(Jahr,2,1),2)+1)+41)=2,(DATE(Jahr,2,1)-WEEKDAY(DATE(Jahr,2,1),2)+1)+41,"")</f>
        <v/>
      </c>
      <c r="S11" s="26" t="str">
        <f>IF(OR(MONTH((DATE(Jahr,3,1)-WEEKDAY(DATE(Jahr,3,1),2)+1)+35)=3,MONTH((DATE(Jahr,3,1)-WEEKDAY(DATE(Jahr,3,1),2)+1)+35+6)=3),_xlfn.ISOWEEKNUM((DATE(Jahr,3,1)-WEEKDAY(DATE(Jahr,3,1),2)+1)+35),"")</f>
        <v/>
      </c>
      <c r="T11" s="27" t="str">
        <f>IF(MONTH((DATE(Jahr,3,1)-WEEKDAY(DATE(Jahr,3,1),2)+1)+35)=3,(DATE(Jahr,3,1)-WEEKDAY(DATE(Jahr,3,1),2)+1)+35,"")</f>
        <v/>
      </c>
      <c r="U11" s="27" t="str">
        <f>IF(MONTH((DATE(Jahr,3,1)-WEEKDAY(DATE(Jahr,3,1),2)+1)+36)=3,(DATE(Jahr,3,1)-WEEKDAY(DATE(Jahr,3,1),2)+1)+36,"")</f>
        <v/>
      </c>
      <c r="V11" s="27" t="str">
        <f>IF(MONTH((DATE(Jahr,3,1)-WEEKDAY(DATE(Jahr,3,1),2)+1)+37)=3,(DATE(Jahr,3,1)-WEEKDAY(DATE(Jahr,3,1),2)+1)+37,"")</f>
        <v/>
      </c>
      <c r="W11" s="27" t="str">
        <f>IF(MONTH((DATE(Jahr,3,1)-WEEKDAY(DATE(Jahr,3,1),2)+1)+38)=3,(DATE(Jahr,3,1)-WEEKDAY(DATE(Jahr,3,1),2)+1)+38,"")</f>
        <v/>
      </c>
      <c r="X11" s="27" t="str">
        <f>IF(MONTH((DATE(Jahr,3,1)-WEEKDAY(DATE(Jahr,3,1),2)+1)+39)=3,(DATE(Jahr,3,1)-WEEKDAY(DATE(Jahr,3,1),2)+1)+39,"")</f>
        <v/>
      </c>
      <c r="Y11" s="28" t="str">
        <f>IF(MONTH((DATE(Jahr,3,1)-WEEKDAY(DATE(Jahr,3,1),2)+1)+40)=3,(DATE(Jahr,3,1)-WEEKDAY(DATE(Jahr,3,1),2)+1)+40,"")</f>
        <v/>
      </c>
      <c r="Z11" s="28" t="str">
        <f>IF(MONTH((DATE(Jahr,3,1)-WEEKDAY(DATE(Jahr,3,1),2)+1)+41)=3,(DATE(Jahr,3,1)-WEEKDAY(DATE(Jahr,3,1),2)+1)+41,"")</f>
        <v/>
      </c>
      <c r="AB11" s="26" t="str">
        <f>IF(OR(MONTH((DATE(Jahr,4,1)-WEEKDAY(DATE(Jahr,4,1),2)+1)+35)=4,MONTH((DATE(Jahr,4,1)-WEEKDAY(DATE(Jahr,4,1),2)+1)+35+6)=4),_xlfn.ISOWEEKNUM((DATE(Jahr,4,1)-WEEKDAY(DATE(Jahr,4,1),2)+1)+35),"")</f>
        <v/>
      </c>
      <c r="AC11" s="27" t="str">
        <f>IF(MONTH((DATE(Jahr,4,1)-WEEKDAY(DATE(Jahr,4,1),2)+1)+35)=4,(DATE(Jahr,4,1)-WEEKDAY(DATE(Jahr,4,1),2)+1)+35,"")</f>
        <v/>
      </c>
      <c r="AD11" s="27" t="str">
        <f>IF(MONTH((DATE(Jahr,4,1)-WEEKDAY(DATE(Jahr,4,1),2)+1)+36)=4,(DATE(Jahr,4,1)-WEEKDAY(DATE(Jahr,4,1),2)+1)+36,"")</f>
        <v/>
      </c>
      <c r="AE11" s="27" t="str">
        <f>IF(MONTH((DATE(Jahr,4,1)-WEEKDAY(DATE(Jahr,4,1),2)+1)+37)=4,(DATE(Jahr,4,1)-WEEKDAY(DATE(Jahr,4,1),2)+1)+37,"")</f>
        <v/>
      </c>
      <c r="AF11" s="27" t="str">
        <f>IF(MONTH((DATE(Jahr,4,1)-WEEKDAY(DATE(Jahr,4,1),2)+1)+38)=4,(DATE(Jahr,4,1)-WEEKDAY(DATE(Jahr,4,1),2)+1)+38,"")</f>
        <v/>
      </c>
      <c r="AG11" s="27" t="str">
        <f>IF(MONTH((DATE(Jahr,4,1)-WEEKDAY(DATE(Jahr,4,1),2)+1)+39)=4,(DATE(Jahr,4,1)-WEEKDAY(DATE(Jahr,4,1),2)+1)+39,"")</f>
        <v/>
      </c>
      <c r="AH11" s="28" t="str">
        <f>IF(MONTH((DATE(Jahr,4,1)-WEEKDAY(DATE(Jahr,4,1),2)+1)+40)=4,(DATE(Jahr,4,1)-WEEKDAY(DATE(Jahr,4,1),2)+1)+40,"")</f>
        <v/>
      </c>
      <c r="AI11" s="28" t="str">
        <f>IF(MONTH((DATE(Jahr,4,1)-WEEKDAY(DATE(Jahr,4,1),2)+1)+41)=4,(DATE(Jahr,4,1)-WEEKDAY(DATE(Jahr,4,1),2)+1)+41,"")</f>
        <v/>
      </c>
    </row>
    <row r="12" spans="1:35" ht="9" customHeight="1" x14ac:dyDescent="0.25"/>
    <row r="13" spans="1:35" ht="21" customHeight="1" x14ac:dyDescent="0.3">
      <c r="A13" s="21" t="s">
        <v>15</v>
      </c>
      <c r="B13" s="22"/>
      <c r="C13" s="22"/>
      <c r="D13" s="22"/>
      <c r="E13" s="22"/>
      <c r="F13" s="22"/>
      <c r="G13" s="22"/>
      <c r="H13" s="22"/>
      <c r="J13" s="21" t="s">
        <v>16</v>
      </c>
      <c r="K13" s="22"/>
      <c r="L13" s="22"/>
      <c r="M13" s="22"/>
      <c r="N13" s="22"/>
      <c r="O13" s="22"/>
      <c r="P13" s="22"/>
      <c r="Q13" s="22"/>
      <c r="S13" s="21" t="s">
        <v>17</v>
      </c>
      <c r="T13" s="22"/>
      <c r="U13" s="22"/>
      <c r="V13" s="22"/>
      <c r="W13" s="22"/>
      <c r="X13" s="22"/>
      <c r="Y13" s="22"/>
      <c r="Z13" s="22"/>
      <c r="AB13" s="21" t="s">
        <v>18</v>
      </c>
      <c r="AC13" s="22"/>
      <c r="AD13" s="22"/>
      <c r="AE13" s="22"/>
      <c r="AF13" s="22"/>
      <c r="AG13" s="22"/>
      <c r="AH13" s="22"/>
      <c r="AI13" s="22"/>
    </row>
    <row r="14" spans="1:35" ht="14.1" customHeight="1" x14ac:dyDescent="0.25">
      <c r="A14" s="23" t="s">
        <v>7</v>
      </c>
      <c r="B14" s="24" t="s">
        <v>8</v>
      </c>
      <c r="C14" s="24" t="s">
        <v>9</v>
      </c>
      <c r="D14" s="24" t="s">
        <v>10</v>
      </c>
      <c r="E14" s="24" t="s">
        <v>11</v>
      </c>
      <c r="F14" s="24" t="s">
        <v>12</v>
      </c>
      <c r="G14" s="25" t="s">
        <v>13</v>
      </c>
      <c r="H14" s="25" t="s">
        <v>14</v>
      </c>
      <c r="J14" s="23" t="s">
        <v>7</v>
      </c>
      <c r="K14" s="24" t="s">
        <v>8</v>
      </c>
      <c r="L14" s="24" t="s">
        <v>9</v>
      </c>
      <c r="M14" s="24" t="s">
        <v>10</v>
      </c>
      <c r="N14" s="24" t="s">
        <v>11</v>
      </c>
      <c r="O14" s="24" t="s">
        <v>12</v>
      </c>
      <c r="P14" s="25" t="s">
        <v>13</v>
      </c>
      <c r="Q14" s="25" t="s">
        <v>14</v>
      </c>
      <c r="S14" s="23" t="s">
        <v>7</v>
      </c>
      <c r="T14" s="24" t="s">
        <v>8</v>
      </c>
      <c r="U14" s="24" t="s">
        <v>9</v>
      </c>
      <c r="V14" s="24" t="s">
        <v>10</v>
      </c>
      <c r="W14" s="24" t="s">
        <v>11</v>
      </c>
      <c r="X14" s="24" t="s">
        <v>12</v>
      </c>
      <c r="Y14" s="25" t="s">
        <v>13</v>
      </c>
      <c r="Z14" s="25" t="s">
        <v>14</v>
      </c>
      <c r="AB14" s="23" t="s">
        <v>7</v>
      </c>
      <c r="AC14" s="24" t="s">
        <v>8</v>
      </c>
      <c r="AD14" s="24" t="s">
        <v>9</v>
      </c>
      <c r="AE14" s="24" t="s">
        <v>10</v>
      </c>
      <c r="AF14" s="24" t="s">
        <v>11</v>
      </c>
      <c r="AG14" s="24" t="s">
        <v>12</v>
      </c>
      <c r="AH14" s="25" t="s">
        <v>13</v>
      </c>
      <c r="AI14" s="25" t="s">
        <v>14</v>
      </c>
    </row>
    <row r="15" spans="1:35" ht="16.5" customHeight="1" x14ac:dyDescent="0.25">
      <c r="A15" s="26">
        <f>IF(OR(MONTH((DATE(Jahr,5,1)-WEEKDAY(DATE(Jahr,5,1),2)+1)+0)=5,MONTH((DATE(Jahr,5,1)-WEEKDAY(DATE(Jahr,5,1),2)+1)+0+6)=5),_xlfn.ISOWEEKNUM((DATE(Jahr,5,1)-WEEKDAY(DATE(Jahr,5,1),2)+1)+0),"")</f>
        <v>17</v>
      </c>
      <c r="B15" s="27" t="str">
        <f>IF(MONTH((DATE(Jahr,5,1)-WEEKDAY(DATE(Jahr,5,1),2)+1)+0)=5,(DATE(Jahr,5,1)-WEEKDAY(DATE(Jahr,5,1),2)+1)+0,"")</f>
        <v/>
      </c>
      <c r="C15" s="27" t="str">
        <f>IF(MONTH((DATE(Jahr,5,1)-WEEKDAY(DATE(Jahr,5,1),2)+1)+1)=5,(DATE(Jahr,5,1)-WEEKDAY(DATE(Jahr,5,1),2)+1)+1,"")</f>
        <v/>
      </c>
      <c r="D15" s="27" t="str">
        <f>IF(MONTH((DATE(Jahr,5,1)-WEEKDAY(DATE(Jahr,5,1),2)+1)+2)=5,(DATE(Jahr,5,1)-WEEKDAY(DATE(Jahr,5,1),2)+1)+2,"")</f>
        <v/>
      </c>
      <c r="E15" s="27" t="str">
        <f>IF(MONTH((DATE(Jahr,5,1)-WEEKDAY(DATE(Jahr,5,1),2)+1)+3)=5,(DATE(Jahr,5,1)-WEEKDAY(DATE(Jahr,5,1),2)+1)+3,"")</f>
        <v/>
      </c>
      <c r="F15" s="27" t="str">
        <f>IF(MONTH((DATE(Jahr,5,1)-WEEKDAY(DATE(Jahr,5,1),2)+1)+4)=5,(DATE(Jahr,5,1)-WEEKDAY(DATE(Jahr,5,1),2)+1)+4,"")</f>
        <v/>
      </c>
      <c r="G15" s="28">
        <f>IF(MONTH((DATE(Jahr,5,1)-WEEKDAY(DATE(Jahr,5,1),2)+1)+5)=5,(DATE(Jahr,5,1)-WEEKDAY(DATE(Jahr,5,1),2)+1)+5,"")</f>
        <v>46508</v>
      </c>
      <c r="H15" s="28">
        <f>IF(MONTH((DATE(Jahr,5,1)-WEEKDAY(DATE(Jahr,5,1),2)+1)+6)=5,(DATE(Jahr,5,1)-WEEKDAY(DATE(Jahr,5,1),2)+1)+6,"")</f>
        <v>46509</v>
      </c>
      <c r="J15" s="26">
        <f>IF(OR(MONTH((DATE(Jahr,6,1)-WEEKDAY(DATE(Jahr,6,1),2)+1)+0)=6,MONTH((DATE(Jahr,6,1)-WEEKDAY(DATE(Jahr,6,1),2)+1)+0+6)=6),_xlfn.ISOWEEKNUM((DATE(Jahr,6,1)-WEEKDAY(DATE(Jahr,6,1),2)+1)+0),"")</f>
        <v>22</v>
      </c>
      <c r="K15" s="27" t="str">
        <f>IF(MONTH((DATE(Jahr,6,1)-WEEKDAY(DATE(Jahr,6,1),2)+1)+0)=6,(DATE(Jahr,6,1)-WEEKDAY(DATE(Jahr,6,1),2)+1)+0,"")</f>
        <v/>
      </c>
      <c r="L15" s="27">
        <f>IF(MONTH((DATE(Jahr,6,1)-WEEKDAY(DATE(Jahr,6,1),2)+1)+1)=6,(DATE(Jahr,6,1)-WEEKDAY(DATE(Jahr,6,1),2)+1)+1,"")</f>
        <v>46539</v>
      </c>
      <c r="M15" s="27">
        <f>IF(MONTH((DATE(Jahr,6,1)-WEEKDAY(DATE(Jahr,6,1),2)+1)+2)=6,(DATE(Jahr,6,1)-WEEKDAY(DATE(Jahr,6,1),2)+1)+2,"")</f>
        <v>46540</v>
      </c>
      <c r="N15" s="27">
        <f>IF(MONTH((DATE(Jahr,6,1)-WEEKDAY(DATE(Jahr,6,1),2)+1)+3)=6,(DATE(Jahr,6,1)-WEEKDAY(DATE(Jahr,6,1),2)+1)+3,"")</f>
        <v>46541</v>
      </c>
      <c r="O15" s="27">
        <f>IF(MONTH((DATE(Jahr,6,1)-WEEKDAY(DATE(Jahr,6,1),2)+1)+4)=6,(DATE(Jahr,6,1)-WEEKDAY(DATE(Jahr,6,1),2)+1)+4,"")</f>
        <v>46542</v>
      </c>
      <c r="P15" s="28">
        <f>IF(MONTH((DATE(Jahr,6,1)-WEEKDAY(DATE(Jahr,6,1),2)+1)+5)=6,(DATE(Jahr,6,1)-WEEKDAY(DATE(Jahr,6,1),2)+1)+5,"")</f>
        <v>46543</v>
      </c>
      <c r="Q15" s="28">
        <f>IF(MONTH((DATE(Jahr,6,1)-WEEKDAY(DATE(Jahr,6,1),2)+1)+6)=6,(DATE(Jahr,6,1)-WEEKDAY(DATE(Jahr,6,1),2)+1)+6,"")</f>
        <v>46544</v>
      </c>
      <c r="S15" s="26">
        <f>IF(OR(MONTH((DATE(Jahr,7,1)-WEEKDAY(DATE(Jahr,7,1),2)+1)+0)=7,MONTH((DATE(Jahr,7,1)-WEEKDAY(DATE(Jahr,7,1),2)+1)+0+6)=7),_xlfn.ISOWEEKNUM((DATE(Jahr,7,1)-WEEKDAY(DATE(Jahr,7,1),2)+1)+0),"")</f>
        <v>26</v>
      </c>
      <c r="T15" s="27" t="str">
        <f>IF(MONTH((DATE(Jahr,7,1)-WEEKDAY(DATE(Jahr,7,1),2)+1)+0)=7,(DATE(Jahr,7,1)-WEEKDAY(DATE(Jahr,7,1),2)+1)+0,"")</f>
        <v/>
      </c>
      <c r="U15" s="27" t="str">
        <f>IF(MONTH((DATE(Jahr,7,1)-WEEKDAY(DATE(Jahr,7,1),2)+1)+1)=7,(DATE(Jahr,7,1)-WEEKDAY(DATE(Jahr,7,1),2)+1)+1,"")</f>
        <v/>
      </c>
      <c r="V15" s="27" t="str">
        <f>IF(MONTH((DATE(Jahr,7,1)-WEEKDAY(DATE(Jahr,7,1),2)+1)+2)=7,(DATE(Jahr,7,1)-WEEKDAY(DATE(Jahr,7,1),2)+1)+2,"")</f>
        <v/>
      </c>
      <c r="W15" s="27">
        <f>IF(MONTH((DATE(Jahr,7,1)-WEEKDAY(DATE(Jahr,7,1),2)+1)+3)=7,(DATE(Jahr,7,1)-WEEKDAY(DATE(Jahr,7,1),2)+1)+3,"")</f>
        <v>46569</v>
      </c>
      <c r="X15" s="27">
        <f>IF(MONTH((DATE(Jahr,7,1)-WEEKDAY(DATE(Jahr,7,1),2)+1)+4)=7,(DATE(Jahr,7,1)-WEEKDAY(DATE(Jahr,7,1),2)+1)+4,"")</f>
        <v>46570</v>
      </c>
      <c r="Y15" s="28">
        <f>IF(MONTH((DATE(Jahr,7,1)-WEEKDAY(DATE(Jahr,7,1),2)+1)+5)=7,(DATE(Jahr,7,1)-WEEKDAY(DATE(Jahr,7,1),2)+1)+5,"")</f>
        <v>46571</v>
      </c>
      <c r="Z15" s="28">
        <f>IF(MONTH((DATE(Jahr,7,1)-WEEKDAY(DATE(Jahr,7,1),2)+1)+6)=7,(DATE(Jahr,7,1)-WEEKDAY(DATE(Jahr,7,1),2)+1)+6,"")</f>
        <v>46572</v>
      </c>
      <c r="AB15" s="26">
        <f>IF(OR(MONTH((DATE(Jahr,8,1)-WEEKDAY(DATE(Jahr,8,1),2)+1)+0)=8,MONTH((DATE(Jahr,8,1)-WEEKDAY(DATE(Jahr,8,1),2)+1)+0+6)=8),_xlfn.ISOWEEKNUM((DATE(Jahr,8,1)-WEEKDAY(DATE(Jahr,8,1),2)+1)+0),"")</f>
        <v>30</v>
      </c>
      <c r="AC15" s="27" t="str">
        <f>IF(MONTH((DATE(Jahr,8,1)-WEEKDAY(DATE(Jahr,8,1),2)+1)+0)=8,(DATE(Jahr,8,1)-WEEKDAY(DATE(Jahr,8,1),2)+1)+0,"")</f>
        <v/>
      </c>
      <c r="AD15" s="27" t="str">
        <f>IF(MONTH((DATE(Jahr,8,1)-WEEKDAY(DATE(Jahr,8,1),2)+1)+1)=8,(DATE(Jahr,8,1)-WEEKDAY(DATE(Jahr,8,1),2)+1)+1,"")</f>
        <v/>
      </c>
      <c r="AE15" s="27" t="str">
        <f>IF(MONTH((DATE(Jahr,8,1)-WEEKDAY(DATE(Jahr,8,1),2)+1)+2)=8,(DATE(Jahr,8,1)-WEEKDAY(DATE(Jahr,8,1),2)+1)+2,"")</f>
        <v/>
      </c>
      <c r="AF15" s="27" t="str">
        <f>IF(MONTH((DATE(Jahr,8,1)-WEEKDAY(DATE(Jahr,8,1),2)+1)+3)=8,(DATE(Jahr,8,1)-WEEKDAY(DATE(Jahr,8,1),2)+1)+3,"")</f>
        <v/>
      </c>
      <c r="AG15" s="27" t="str">
        <f>IF(MONTH((DATE(Jahr,8,1)-WEEKDAY(DATE(Jahr,8,1),2)+1)+4)=8,(DATE(Jahr,8,1)-WEEKDAY(DATE(Jahr,8,1),2)+1)+4,"")</f>
        <v/>
      </c>
      <c r="AH15" s="28" t="str">
        <f>IF(MONTH((DATE(Jahr,8,1)-WEEKDAY(DATE(Jahr,8,1),2)+1)+5)=8,(DATE(Jahr,8,1)-WEEKDAY(DATE(Jahr,8,1),2)+1)+5,"")</f>
        <v/>
      </c>
      <c r="AI15" s="28">
        <f>IF(MONTH((DATE(Jahr,8,1)-WEEKDAY(DATE(Jahr,8,1),2)+1)+6)=8,(DATE(Jahr,8,1)-WEEKDAY(DATE(Jahr,8,1),2)+1)+6,"")</f>
        <v>46600</v>
      </c>
    </row>
    <row r="16" spans="1:35" ht="16.5" customHeight="1" x14ac:dyDescent="0.25">
      <c r="A16" s="26">
        <f>IF(OR(MONTH((DATE(Jahr,5,1)-WEEKDAY(DATE(Jahr,5,1),2)+1)+7)=5,MONTH((DATE(Jahr,5,1)-WEEKDAY(DATE(Jahr,5,1),2)+1)+7+6)=5),_xlfn.ISOWEEKNUM((DATE(Jahr,5,1)-WEEKDAY(DATE(Jahr,5,1),2)+1)+7),"")</f>
        <v>18</v>
      </c>
      <c r="B16" s="27">
        <f>IF(MONTH((DATE(Jahr,5,1)-WEEKDAY(DATE(Jahr,5,1),2)+1)+7)=5,(DATE(Jahr,5,1)-WEEKDAY(DATE(Jahr,5,1),2)+1)+7,"")</f>
        <v>46510</v>
      </c>
      <c r="C16" s="27">
        <f>IF(MONTH((DATE(Jahr,5,1)-WEEKDAY(DATE(Jahr,5,1),2)+1)+8)=5,(DATE(Jahr,5,1)-WEEKDAY(DATE(Jahr,5,1),2)+1)+8,"")</f>
        <v>46511</v>
      </c>
      <c r="D16" s="27">
        <f>IF(MONTH((DATE(Jahr,5,1)-WEEKDAY(DATE(Jahr,5,1),2)+1)+9)=5,(DATE(Jahr,5,1)-WEEKDAY(DATE(Jahr,5,1),2)+1)+9,"")</f>
        <v>46512</v>
      </c>
      <c r="E16" s="27">
        <f>IF(MONTH((DATE(Jahr,5,1)-WEEKDAY(DATE(Jahr,5,1),2)+1)+10)=5,(DATE(Jahr,5,1)-WEEKDAY(DATE(Jahr,5,1),2)+1)+10,"")</f>
        <v>46513</v>
      </c>
      <c r="F16" s="27">
        <f>IF(MONTH((DATE(Jahr,5,1)-WEEKDAY(DATE(Jahr,5,1),2)+1)+11)=5,(DATE(Jahr,5,1)-WEEKDAY(DATE(Jahr,5,1),2)+1)+11,"")</f>
        <v>46514</v>
      </c>
      <c r="G16" s="28">
        <f>IF(MONTH((DATE(Jahr,5,1)-WEEKDAY(DATE(Jahr,5,1),2)+1)+12)=5,(DATE(Jahr,5,1)-WEEKDAY(DATE(Jahr,5,1),2)+1)+12,"")</f>
        <v>46515</v>
      </c>
      <c r="H16" s="28">
        <f>IF(MONTH((DATE(Jahr,5,1)-WEEKDAY(DATE(Jahr,5,1),2)+1)+13)=5,(DATE(Jahr,5,1)-WEEKDAY(DATE(Jahr,5,1),2)+1)+13,"")</f>
        <v>46516</v>
      </c>
      <c r="J16" s="26">
        <f>IF(OR(MONTH((DATE(Jahr,6,1)-WEEKDAY(DATE(Jahr,6,1),2)+1)+7)=6,MONTH((DATE(Jahr,6,1)-WEEKDAY(DATE(Jahr,6,1),2)+1)+7+6)=6),_xlfn.ISOWEEKNUM((DATE(Jahr,6,1)-WEEKDAY(DATE(Jahr,6,1),2)+1)+7),"")</f>
        <v>23</v>
      </c>
      <c r="K16" s="27">
        <f>IF(MONTH((DATE(Jahr,6,1)-WEEKDAY(DATE(Jahr,6,1),2)+1)+7)=6,(DATE(Jahr,6,1)-WEEKDAY(DATE(Jahr,6,1),2)+1)+7,"")</f>
        <v>46545</v>
      </c>
      <c r="L16" s="27">
        <f>IF(MONTH((DATE(Jahr,6,1)-WEEKDAY(DATE(Jahr,6,1),2)+1)+8)=6,(DATE(Jahr,6,1)-WEEKDAY(DATE(Jahr,6,1),2)+1)+8,"")</f>
        <v>46546</v>
      </c>
      <c r="M16" s="27">
        <f>IF(MONTH((DATE(Jahr,6,1)-WEEKDAY(DATE(Jahr,6,1),2)+1)+9)=6,(DATE(Jahr,6,1)-WEEKDAY(DATE(Jahr,6,1),2)+1)+9,"")</f>
        <v>46547</v>
      </c>
      <c r="N16" s="27">
        <f>IF(MONTH((DATE(Jahr,6,1)-WEEKDAY(DATE(Jahr,6,1),2)+1)+10)=6,(DATE(Jahr,6,1)-WEEKDAY(DATE(Jahr,6,1),2)+1)+10,"")</f>
        <v>46548</v>
      </c>
      <c r="O16" s="27">
        <f>IF(MONTH((DATE(Jahr,6,1)-WEEKDAY(DATE(Jahr,6,1),2)+1)+11)=6,(DATE(Jahr,6,1)-WEEKDAY(DATE(Jahr,6,1),2)+1)+11,"")</f>
        <v>46549</v>
      </c>
      <c r="P16" s="28">
        <f>IF(MONTH((DATE(Jahr,6,1)-WEEKDAY(DATE(Jahr,6,1),2)+1)+12)=6,(DATE(Jahr,6,1)-WEEKDAY(DATE(Jahr,6,1),2)+1)+12,"")</f>
        <v>46550</v>
      </c>
      <c r="Q16" s="28">
        <f>IF(MONTH((DATE(Jahr,6,1)-WEEKDAY(DATE(Jahr,6,1),2)+1)+13)=6,(DATE(Jahr,6,1)-WEEKDAY(DATE(Jahr,6,1),2)+1)+13,"")</f>
        <v>46551</v>
      </c>
      <c r="S16" s="26">
        <f>IF(OR(MONTH((DATE(Jahr,7,1)-WEEKDAY(DATE(Jahr,7,1),2)+1)+7)=7,MONTH((DATE(Jahr,7,1)-WEEKDAY(DATE(Jahr,7,1),2)+1)+7+6)=7),_xlfn.ISOWEEKNUM((DATE(Jahr,7,1)-WEEKDAY(DATE(Jahr,7,1),2)+1)+7),"")</f>
        <v>27</v>
      </c>
      <c r="T16" s="27">
        <f>IF(MONTH((DATE(Jahr,7,1)-WEEKDAY(DATE(Jahr,7,1),2)+1)+7)=7,(DATE(Jahr,7,1)-WEEKDAY(DATE(Jahr,7,1),2)+1)+7,"")</f>
        <v>46573</v>
      </c>
      <c r="U16" s="27">
        <f>IF(MONTH((DATE(Jahr,7,1)-WEEKDAY(DATE(Jahr,7,1),2)+1)+8)=7,(DATE(Jahr,7,1)-WEEKDAY(DATE(Jahr,7,1),2)+1)+8,"")</f>
        <v>46574</v>
      </c>
      <c r="V16" s="27">
        <f>IF(MONTH((DATE(Jahr,7,1)-WEEKDAY(DATE(Jahr,7,1),2)+1)+9)=7,(DATE(Jahr,7,1)-WEEKDAY(DATE(Jahr,7,1),2)+1)+9,"")</f>
        <v>46575</v>
      </c>
      <c r="W16" s="27">
        <f>IF(MONTH((DATE(Jahr,7,1)-WEEKDAY(DATE(Jahr,7,1),2)+1)+10)=7,(DATE(Jahr,7,1)-WEEKDAY(DATE(Jahr,7,1),2)+1)+10,"")</f>
        <v>46576</v>
      </c>
      <c r="X16" s="27">
        <f>IF(MONTH((DATE(Jahr,7,1)-WEEKDAY(DATE(Jahr,7,1),2)+1)+11)=7,(DATE(Jahr,7,1)-WEEKDAY(DATE(Jahr,7,1),2)+1)+11,"")</f>
        <v>46577</v>
      </c>
      <c r="Y16" s="28">
        <f>IF(MONTH((DATE(Jahr,7,1)-WEEKDAY(DATE(Jahr,7,1),2)+1)+12)=7,(DATE(Jahr,7,1)-WEEKDAY(DATE(Jahr,7,1),2)+1)+12,"")</f>
        <v>46578</v>
      </c>
      <c r="Z16" s="28">
        <f>IF(MONTH((DATE(Jahr,7,1)-WEEKDAY(DATE(Jahr,7,1),2)+1)+13)=7,(DATE(Jahr,7,1)-WEEKDAY(DATE(Jahr,7,1),2)+1)+13,"")</f>
        <v>46579</v>
      </c>
      <c r="AB16" s="26">
        <f>IF(OR(MONTH((DATE(Jahr,8,1)-WEEKDAY(DATE(Jahr,8,1),2)+1)+7)=8,MONTH((DATE(Jahr,8,1)-WEEKDAY(DATE(Jahr,8,1),2)+1)+7+6)=8),_xlfn.ISOWEEKNUM((DATE(Jahr,8,1)-WEEKDAY(DATE(Jahr,8,1),2)+1)+7),"")</f>
        <v>31</v>
      </c>
      <c r="AC16" s="27">
        <f>IF(MONTH((DATE(Jahr,8,1)-WEEKDAY(DATE(Jahr,8,1),2)+1)+7)=8,(DATE(Jahr,8,1)-WEEKDAY(DATE(Jahr,8,1),2)+1)+7,"")</f>
        <v>46601</v>
      </c>
      <c r="AD16" s="27">
        <f>IF(MONTH((DATE(Jahr,8,1)-WEEKDAY(DATE(Jahr,8,1),2)+1)+8)=8,(DATE(Jahr,8,1)-WEEKDAY(DATE(Jahr,8,1),2)+1)+8,"")</f>
        <v>46602</v>
      </c>
      <c r="AE16" s="27">
        <f>IF(MONTH((DATE(Jahr,8,1)-WEEKDAY(DATE(Jahr,8,1),2)+1)+9)=8,(DATE(Jahr,8,1)-WEEKDAY(DATE(Jahr,8,1),2)+1)+9,"")</f>
        <v>46603</v>
      </c>
      <c r="AF16" s="27">
        <f>IF(MONTH((DATE(Jahr,8,1)-WEEKDAY(DATE(Jahr,8,1),2)+1)+10)=8,(DATE(Jahr,8,1)-WEEKDAY(DATE(Jahr,8,1),2)+1)+10,"")</f>
        <v>46604</v>
      </c>
      <c r="AG16" s="27">
        <f>IF(MONTH((DATE(Jahr,8,1)-WEEKDAY(DATE(Jahr,8,1),2)+1)+11)=8,(DATE(Jahr,8,1)-WEEKDAY(DATE(Jahr,8,1),2)+1)+11,"")</f>
        <v>46605</v>
      </c>
      <c r="AH16" s="28">
        <f>IF(MONTH((DATE(Jahr,8,1)-WEEKDAY(DATE(Jahr,8,1),2)+1)+12)=8,(DATE(Jahr,8,1)-WEEKDAY(DATE(Jahr,8,1),2)+1)+12,"")</f>
        <v>46606</v>
      </c>
      <c r="AI16" s="28">
        <f>IF(MONTH((DATE(Jahr,8,1)-WEEKDAY(DATE(Jahr,8,1),2)+1)+13)=8,(DATE(Jahr,8,1)-WEEKDAY(DATE(Jahr,8,1),2)+1)+13,"")</f>
        <v>46607</v>
      </c>
    </row>
    <row r="17" spans="1:35" ht="16.5" customHeight="1" x14ac:dyDescent="0.25">
      <c r="A17" s="26">
        <f>IF(OR(MONTH((DATE(Jahr,5,1)-WEEKDAY(DATE(Jahr,5,1),2)+1)+14)=5,MONTH((DATE(Jahr,5,1)-WEEKDAY(DATE(Jahr,5,1),2)+1)+14+6)=5),_xlfn.ISOWEEKNUM((DATE(Jahr,5,1)-WEEKDAY(DATE(Jahr,5,1),2)+1)+14),"")</f>
        <v>19</v>
      </c>
      <c r="B17" s="27">
        <f>IF(MONTH((DATE(Jahr,5,1)-WEEKDAY(DATE(Jahr,5,1),2)+1)+14)=5,(DATE(Jahr,5,1)-WEEKDAY(DATE(Jahr,5,1),2)+1)+14,"")</f>
        <v>46517</v>
      </c>
      <c r="C17" s="27">
        <f>IF(MONTH((DATE(Jahr,5,1)-WEEKDAY(DATE(Jahr,5,1),2)+1)+15)=5,(DATE(Jahr,5,1)-WEEKDAY(DATE(Jahr,5,1),2)+1)+15,"")</f>
        <v>46518</v>
      </c>
      <c r="D17" s="27">
        <f>IF(MONTH((DATE(Jahr,5,1)-WEEKDAY(DATE(Jahr,5,1),2)+1)+16)=5,(DATE(Jahr,5,1)-WEEKDAY(DATE(Jahr,5,1),2)+1)+16,"")</f>
        <v>46519</v>
      </c>
      <c r="E17" s="27">
        <f>IF(MONTH((DATE(Jahr,5,1)-WEEKDAY(DATE(Jahr,5,1),2)+1)+17)=5,(DATE(Jahr,5,1)-WEEKDAY(DATE(Jahr,5,1),2)+1)+17,"")</f>
        <v>46520</v>
      </c>
      <c r="F17" s="27">
        <f>IF(MONTH((DATE(Jahr,5,1)-WEEKDAY(DATE(Jahr,5,1),2)+1)+18)=5,(DATE(Jahr,5,1)-WEEKDAY(DATE(Jahr,5,1),2)+1)+18,"")</f>
        <v>46521</v>
      </c>
      <c r="G17" s="28">
        <f>IF(MONTH((DATE(Jahr,5,1)-WEEKDAY(DATE(Jahr,5,1),2)+1)+19)=5,(DATE(Jahr,5,1)-WEEKDAY(DATE(Jahr,5,1),2)+1)+19,"")</f>
        <v>46522</v>
      </c>
      <c r="H17" s="28">
        <f>IF(MONTH((DATE(Jahr,5,1)-WEEKDAY(DATE(Jahr,5,1),2)+1)+20)=5,(DATE(Jahr,5,1)-WEEKDAY(DATE(Jahr,5,1),2)+1)+20,"")</f>
        <v>46523</v>
      </c>
      <c r="J17" s="26">
        <f>IF(OR(MONTH((DATE(Jahr,6,1)-WEEKDAY(DATE(Jahr,6,1),2)+1)+14)=6,MONTH((DATE(Jahr,6,1)-WEEKDAY(DATE(Jahr,6,1),2)+1)+14+6)=6),_xlfn.ISOWEEKNUM((DATE(Jahr,6,1)-WEEKDAY(DATE(Jahr,6,1),2)+1)+14),"")</f>
        <v>24</v>
      </c>
      <c r="K17" s="27">
        <f>IF(MONTH((DATE(Jahr,6,1)-WEEKDAY(DATE(Jahr,6,1),2)+1)+14)=6,(DATE(Jahr,6,1)-WEEKDAY(DATE(Jahr,6,1),2)+1)+14,"")</f>
        <v>46552</v>
      </c>
      <c r="L17" s="27">
        <f>IF(MONTH((DATE(Jahr,6,1)-WEEKDAY(DATE(Jahr,6,1),2)+1)+15)=6,(DATE(Jahr,6,1)-WEEKDAY(DATE(Jahr,6,1),2)+1)+15,"")</f>
        <v>46553</v>
      </c>
      <c r="M17" s="27">
        <f>IF(MONTH((DATE(Jahr,6,1)-WEEKDAY(DATE(Jahr,6,1),2)+1)+16)=6,(DATE(Jahr,6,1)-WEEKDAY(DATE(Jahr,6,1),2)+1)+16,"")</f>
        <v>46554</v>
      </c>
      <c r="N17" s="27">
        <f>IF(MONTH((DATE(Jahr,6,1)-WEEKDAY(DATE(Jahr,6,1),2)+1)+17)=6,(DATE(Jahr,6,1)-WEEKDAY(DATE(Jahr,6,1),2)+1)+17,"")</f>
        <v>46555</v>
      </c>
      <c r="O17" s="27">
        <f>IF(MONTH((DATE(Jahr,6,1)-WEEKDAY(DATE(Jahr,6,1),2)+1)+18)=6,(DATE(Jahr,6,1)-WEEKDAY(DATE(Jahr,6,1),2)+1)+18,"")</f>
        <v>46556</v>
      </c>
      <c r="P17" s="28">
        <f>IF(MONTH((DATE(Jahr,6,1)-WEEKDAY(DATE(Jahr,6,1),2)+1)+19)=6,(DATE(Jahr,6,1)-WEEKDAY(DATE(Jahr,6,1),2)+1)+19,"")</f>
        <v>46557</v>
      </c>
      <c r="Q17" s="28">
        <f>IF(MONTH((DATE(Jahr,6,1)-WEEKDAY(DATE(Jahr,6,1),2)+1)+20)=6,(DATE(Jahr,6,1)-WEEKDAY(DATE(Jahr,6,1),2)+1)+20,"")</f>
        <v>46558</v>
      </c>
      <c r="S17" s="26">
        <f>IF(OR(MONTH((DATE(Jahr,7,1)-WEEKDAY(DATE(Jahr,7,1),2)+1)+14)=7,MONTH((DATE(Jahr,7,1)-WEEKDAY(DATE(Jahr,7,1),2)+1)+14+6)=7),_xlfn.ISOWEEKNUM((DATE(Jahr,7,1)-WEEKDAY(DATE(Jahr,7,1),2)+1)+14),"")</f>
        <v>28</v>
      </c>
      <c r="T17" s="27">
        <f>IF(MONTH((DATE(Jahr,7,1)-WEEKDAY(DATE(Jahr,7,1),2)+1)+14)=7,(DATE(Jahr,7,1)-WEEKDAY(DATE(Jahr,7,1),2)+1)+14,"")</f>
        <v>46580</v>
      </c>
      <c r="U17" s="27">
        <f>IF(MONTH((DATE(Jahr,7,1)-WEEKDAY(DATE(Jahr,7,1),2)+1)+15)=7,(DATE(Jahr,7,1)-WEEKDAY(DATE(Jahr,7,1),2)+1)+15,"")</f>
        <v>46581</v>
      </c>
      <c r="V17" s="27">
        <f>IF(MONTH((DATE(Jahr,7,1)-WEEKDAY(DATE(Jahr,7,1),2)+1)+16)=7,(DATE(Jahr,7,1)-WEEKDAY(DATE(Jahr,7,1),2)+1)+16,"")</f>
        <v>46582</v>
      </c>
      <c r="W17" s="27">
        <f>IF(MONTH((DATE(Jahr,7,1)-WEEKDAY(DATE(Jahr,7,1),2)+1)+17)=7,(DATE(Jahr,7,1)-WEEKDAY(DATE(Jahr,7,1),2)+1)+17,"")</f>
        <v>46583</v>
      </c>
      <c r="X17" s="27">
        <f>IF(MONTH((DATE(Jahr,7,1)-WEEKDAY(DATE(Jahr,7,1),2)+1)+18)=7,(DATE(Jahr,7,1)-WEEKDAY(DATE(Jahr,7,1),2)+1)+18,"")</f>
        <v>46584</v>
      </c>
      <c r="Y17" s="28">
        <f>IF(MONTH((DATE(Jahr,7,1)-WEEKDAY(DATE(Jahr,7,1),2)+1)+19)=7,(DATE(Jahr,7,1)-WEEKDAY(DATE(Jahr,7,1),2)+1)+19,"")</f>
        <v>46585</v>
      </c>
      <c r="Z17" s="28">
        <f>IF(MONTH((DATE(Jahr,7,1)-WEEKDAY(DATE(Jahr,7,1),2)+1)+20)=7,(DATE(Jahr,7,1)-WEEKDAY(DATE(Jahr,7,1),2)+1)+20,"")</f>
        <v>46586</v>
      </c>
      <c r="AB17" s="26">
        <f>IF(OR(MONTH((DATE(Jahr,8,1)-WEEKDAY(DATE(Jahr,8,1),2)+1)+14)=8,MONTH((DATE(Jahr,8,1)-WEEKDAY(DATE(Jahr,8,1),2)+1)+14+6)=8),_xlfn.ISOWEEKNUM((DATE(Jahr,8,1)-WEEKDAY(DATE(Jahr,8,1),2)+1)+14),"")</f>
        <v>32</v>
      </c>
      <c r="AC17" s="27">
        <f>IF(MONTH((DATE(Jahr,8,1)-WEEKDAY(DATE(Jahr,8,1),2)+1)+14)=8,(DATE(Jahr,8,1)-WEEKDAY(DATE(Jahr,8,1),2)+1)+14,"")</f>
        <v>46608</v>
      </c>
      <c r="AD17" s="27">
        <f>IF(MONTH((DATE(Jahr,8,1)-WEEKDAY(DATE(Jahr,8,1),2)+1)+15)=8,(DATE(Jahr,8,1)-WEEKDAY(DATE(Jahr,8,1),2)+1)+15,"")</f>
        <v>46609</v>
      </c>
      <c r="AE17" s="27">
        <f>IF(MONTH((DATE(Jahr,8,1)-WEEKDAY(DATE(Jahr,8,1),2)+1)+16)=8,(DATE(Jahr,8,1)-WEEKDAY(DATE(Jahr,8,1),2)+1)+16,"")</f>
        <v>46610</v>
      </c>
      <c r="AF17" s="27">
        <f>IF(MONTH((DATE(Jahr,8,1)-WEEKDAY(DATE(Jahr,8,1),2)+1)+17)=8,(DATE(Jahr,8,1)-WEEKDAY(DATE(Jahr,8,1),2)+1)+17,"")</f>
        <v>46611</v>
      </c>
      <c r="AG17" s="27">
        <f>IF(MONTH((DATE(Jahr,8,1)-WEEKDAY(DATE(Jahr,8,1),2)+1)+18)=8,(DATE(Jahr,8,1)-WEEKDAY(DATE(Jahr,8,1),2)+1)+18,"")</f>
        <v>46612</v>
      </c>
      <c r="AH17" s="28">
        <f>IF(MONTH((DATE(Jahr,8,1)-WEEKDAY(DATE(Jahr,8,1),2)+1)+19)=8,(DATE(Jahr,8,1)-WEEKDAY(DATE(Jahr,8,1),2)+1)+19,"")</f>
        <v>46613</v>
      </c>
      <c r="AI17" s="28">
        <f>IF(MONTH((DATE(Jahr,8,1)-WEEKDAY(DATE(Jahr,8,1),2)+1)+20)=8,(DATE(Jahr,8,1)-WEEKDAY(DATE(Jahr,8,1),2)+1)+20,"")</f>
        <v>46614</v>
      </c>
    </row>
    <row r="18" spans="1:35" ht="16.5" customHeight="1" x14ac:dyDescent="0.25">
      <c r="A18" s="26">
        <f>IF(OR(MONTH((DATE(Jahr,5,1)-WEEKDAY(DATE(Jahr,5,1),2)+1)+21)=5,MONTH((DATE(Jahr,5,1)-WEEKDAY(DATE(Jahr,5,1),2)+1)+21+6)=5),_xlfn.ISOWEEKNUM((DATE(Jahr,5,1)-WEEKDAY(DATE(Jahr,5,1),2)+1)+21),"")</f>
        <v>20</v>
      </c>
      <c r="B18" s="27">
        <f>IF(MONTH((DATE(Jahr,5,1)-WEEKDAY(DATE(Jahr,5,1),2)+1)+21)=5,(DATE(Jahr,5,1)-WEEKDAY(DATE(Jahr,5,1),2)+1)+21,"")</f>
        <v>46524</v>
      </c>
      <c r="C18" s="27">
        <f>IF(MONTH((DATE(Jahr,5,1)-WEEKDAY(DATE(Jahr,5,1),2)+1)+22)=5,(DATE(Jahr,5,1)-WEEKDAY(DATE(Jahr,5,1),2)+1)+22,"")</f>
        <v>46525</v>
      </c>
      <c r="D18" s="27">
        <f>IF(MONTH((DATE(Jahr,5,1)-WEEKDAY(DATE(Jahr,5,1),2)+1)+23)=5,(DATE(Jahr,5,1)-WEEKDAY(DATE(Jahr,5,1),2)+1)+23,"")</f>
        <v>46526</v>
      </c>
      <c r="E18" s="27">
        <f>IF(MONTH((DATE(Jahr,5,1)-WEEKDAY(DATE(Jahr,5,1),2)+1)+24)=5,(DATE(Jahr,5,1)-WEEKDAY(DATE(Jahr,5,1),2)+1)+24,"")</f>
        <v>46527</v>
      </c>
      <c r="F18" s="27">
        <f>IF(MONTH((DATE(Jahr,5,1)-WEEKDAY(DATE(Jahr,5,1),2)+1)+25)=5,(DATE(Jahr,5,1)-WEEKDAY(DATE(Jahr,5,1),2)+1)+25,"")</f>
        <v>46528</v>
      </c>
      <c r="G18" s="28">
        <f>IF(MONTH((DATE(Jahr,5,1)-WEEKDAY(DATE(Jahr,5,1),2)+1)+26)=5,(DATE(Jahr,5,1)-WEEKDAY(DATE(Jahr,5,1),2)+1)+26,"")</f>
        <v>46529</v>
      </c>
      <c r="H18" s="28">
        <f>IF(MONTH((DATE(Jahr,5,1)-WEEKDAY(DATE(Jahr,5,1),2)+1)+27)=5,(DATE(Jahr,5,1)-WEEKDAY(DATE(Jahr,5,1),2)+1)+27,"")</f>
        <v>46530</v>
      </c>
      <c r="J18" s="26">
        <f>IF(OR(MONTH((DATE(Jahr,6,1)-WEEKDAY(DATE(Jahr,6,1),2)+1)+21)=6,MONTH((DATE(Jahr,6,1)-WEEKDAY(DATE(Jahr,6,1),2)+1)+21+6)=6),_xlfn.ISOWEEKNUM((DATE(Jahr,6,1)-WEEKDAY(DATE(Jahr,6,1),2)+1)+21),"")</f>
        <v>25</v>
      </c>
      <c r="K18" s="27">
        <f>IF(MONTH((DATE(Jahr,6,1)-WEEKDAY(DATE(Jahr,6,1),2)+1)+21)=6,(DATE(Jahr,6,1)-WEEKDAY(DATE(Jahr,6,1),2)+1)+21,"")</f>
        <v>46559</v>
      </c>
      <c r="L18" s="27">
        <f>IF(MONTH((DATE(Jahr,6,1)-WEEKDAY(DATE(Jahr,6,1),2)+1)+22)=6,(DATE(Jahr,6,1)-WEEKDAY(DATE(Jahr,6,1),2)+1)+22,"")</f>
        <v>46560</v>
      </c>
      <c r="M18" s="27">
        <f>IF(MONTH((DATE(Jahr,6,1)-WEEKDAY(DATE(Jahr,6,1),2)+1)+23)=6,(DATE(Jahr,6,1)-WEEKDAY(DATE(Jahr,6,1),2)+1)+23,"")</f>
        <v>46561</v>
      </c>
      <c r="N18" s="27">
        <f>IF(MONTH((DATE(Jahr,6,1)-WEEKDAY(DATE(Jahr,6,1),2)+1)+24)=6,(DATE(Jahr,6,1)-WEEKDAY(DATE(Jahr,6,1),2)+1)+24,"")</f>
        <v>46562</v>
      </c>
      <c r="O18" s="27">
        <f>IF(MONTH((DATE(Jahr,6,1)-WEEKDAY(DATE(Jahr,6,1),2)+1)+25)=6,(DATE(Jahr,6,1)-WEEKDAY(DATE(Jahr,6,1),2)+1)+25,"")</f>
        <v>46563</v>
      </c>
      <c r="P18" s="28">
        <f>IF(MONTH((DATE(Jahr,6,1)-WEEKDAY(DATE(Jahr,6,1),2)+1)+26)=6,(DATE(Jahr,6,1)-WEEKDAY(DATE(Jahr,6,1),2)+1)+26,"")</f>
        <v>46564</v>
      </c>
      <c r="Q18" s="28">
        <f>IF(MONTH((DATE(Jahr,6,1)-WEEKDAY(DATE(Jahr,6,1),2)+1)+27)=6,(DATE(Jahr,6,1)-WEEKDAY(DATE(Jahr,6,1),2)+1)+27,"")</f>
        <v>46565</v>
      </c>
      <c r="S18" s="26">
        <f>IF(OR(MONTH((DATE(Jahr,7,1)-WEEKDAY(DATE(Jahr,7,1),2)+1)+21)=7,MONTH((DATE(Jahr,7,1)-WEEKDAY(DATE(Jahr,7,1),2)+1)+21+6)=7),_xlfn.ISOWEEKNUM((DATE(Jahr,7,1)-WEEKDAY(DATE(Jahr,7,1),2)+1)+21),"")</f>
        <v>29</v>
      </c>
      <c r="T18" s="27">
        <f>IF(MONTH((DATE(Jahr,7,1)-WEEKDAY(DATE(Jahr,7,1),2)+1)+21)=7,(DATE(Jahr,7,1)-WEEKDAY(DATE(Jahr,7,1),2)+1)+21,"")</f>
        <v>46587</v>
      </c>
      <c r="U18" s="27">
        <f>IF(MONTH((DATE(Jahr,7,1)-WEEKDAY(DATE(Jahr,7,1),2)+1)+22)=7,(DATE(Jahr,7,1)-WEEKDAY(DATE(Jahr,7,1),2)+1)+22,"")</f>
        <v>46588</v>
      </c>
      <c r="V18" s="27">
        <f>IF(MONTH((DATE(Jahr,7,1)-WEEKDAY(DATE(Jahr,7,1),2)+1)+23)=7,(DATE(Jahr,7,1)-WEEKDAY(DATE(Jahr,7,1),2)+1)+23,"")</f>
        <v>46589</v>
      </c>
      <c r="W18" s="27">
        <f>IF(MONTH((DATE(Jahr,7,1)-WEEKDAY(DATE(Jahr,7,1),2)+1)+24)=7,(DATE(Jahr,7,1)-WEEKDAY(DATE(Jahr,7,1),2)+1)+24,"")</f>
        <v>46590</v>
      </c>
      <c r="X18" s="27">
        <f>IF(MONTH((DATE(Jahr,7,1)-WEEKDAY(DATE(Jahr,7,1),2)+1)+25)=7,(DATE(Jahr,7,1)-WEEKDAY(DATE(Jahr,7,1),2)+1)+25,"")</f>
        <v>46591</v>
      </c>
      <c r="Y18" s="28">
        <f>IF(MONTH((DATE(Jahr,7,1)-WEEKDAY(DATE(Jahr,7,1),2)+1)+26)=7,(DATE(Jahr,7,1)-WEEKDAY(DATE(Jahr,7,1),2)+1)+26,"")</f>
        <v>46592</v>
      </c>
      <c r="Z18" s="28">
        <f>IF(MONTH((DATE(Jahr,7,1)-WEEKDAY(DATE(Jahr,7,1),2)+1)+27)=7,(DATE(Jahr,7,1)-WEEKDAY(DATE(Jahr,7,1),2)+1)+27,"")</f>
        <v>46593</v>
      </c>
      <c r="AB18" s="26">
        <f>IF(OR(MONTH((DATE(Jahr,8,1)-WEEKDAY(DATE(Jahr,8,1),2)+1)+21)=8,MONTH((DATE(Jahr,8,1)-WEEKDAY(DATE(Jahr,8,1),2)+1)+21+6)=8),_xlfn.ISOWEEKNUM((DATE(Jahr,8,1)-WEEKDAY(DATE(Jahr,8,1),2)+1)+21),"")</f>
        <v>33</v>
      </c>
      <c r="AC18" s="27">
        <f>IF(MONTH((DATE(Jahr,8,1)-WEEKDAY(DATE(Jahr,8,1),2)+1)+21)=8,(DATE(Jahr,8,1)-WEEKDAY(DATE(Jahr,8,1),2)+1)+21,"")</f>
        <v>46615</v>
      </c>
      <c r="AD18" s="27">
        <f>IF(MONTH((DATE(Jahr,8,1)-WEEKDAY(DATE(Jahr,8,1),2)+1)+22)=8,(DATE(Jahr,8,1)-WEEKDAY(DATE(Jahr,8,1),2)+1)+22,"")</f>
        <v>46616</v>
      </c>
      <c r="AE18" s="27">
        <f>IF(MONTH((DATE(Jahr,8,1)-WEEKDAY(DATE(Jahr,8,1),2)+1)+23)=8,(DATE(Jahr,8,1)-WEEKDAY(DATE(Jahr,8,1),2)+1)+23,"")</f>
        <v>46617</v>
      </c>
      <c r="AF18" s="27">
        <f>IF(MONTH((DATE(Jahr,8,1)-WEEKDAY(DATE(Jahr,8,1),2)+1)+24)=8,(DATE(Jahr,8,1)-WEEKDAY(DATE(Jahr,8,1),2)+1)+24,"")</f>
        <v>46618</v>
      </c>
      <c r="AG18" s="27">
        <f>IF(MONTH((DATE(Jahr,8,1)-WEEKDAY(DATE(Jahr,8,1),2)+1)+25)=8,(DATE(Jahr,8,1)-WEEKDAY(DATE(Jahr,8,1),2)+1)+25,"")</f>
        <v>46619</v>
      </c>
      <c r="AH18" s="28">
        <f>IF(MONTH((DATE(Jahr,8,1)-WEEKDAY(DATE(Jahr,8,1),2)+1)+26)=8,(DATE(Jahr,8,1)-WEEKDAY(DATE(Jahr,8,1),2)+1)+26,"")</f>
        <v>46620</v>
      </c>
      <c r="AI18" s="28">
        <f>IF(MONTH((DATE(Jahr,8,1)-WEEKDAY(DATE(Jahr,8,1),2)+1)+27)=8,(DATE(Jahr,8,1)-WEEKDAY(DATE(Jahr,8,1),2)+1)+27,"")</f>
        <v>46621</v>
      </c>
    </row>
    <row r="19" spans="1:35" ht="16.5" customHeight="1" x14ac:dyDescent="0.25">
      <c r="A19" s="26">
        <f>IF(OR(MONTH((DATE(Jahr,5,1)-WEEKDAY(DATE(Jahr,5,1),2)+1)+28)=5,MONTH((DATE(Jahr,5,1)-WEEKDAY(DATE(Jahr,5,1),2)+1)+28+6)=5),_xlfn.ISOWEEKNUM((DATE(Jahr,5,1)-WEEKDAY(DATE(Jahr,5,1),2)+1)+28),"")</f>
        <v>21</v>
      </c>
      <c r="B19" s="27">
        <f>IF(MONTH((DATE(Jahr,5,1)-WEEKDAY(DATE(Jahr,5,1),2)+1)+28)=5,(DATE(Jahr,5,1)-WEEKDAY(DATE(Jahr,5,1),2)+1)+28,"")</f>
        <v>46531</v>
      </c>
      <c r="C19" s="27">
        <f>IF(MONTH((DATE(Jahr,5,1)-WEEKDAY(DATE(Jahr,5,1),2)+1)+29)=5,(DATE(Jahr,5,1)-WEEKDAY(DATE(Jahr,5,1),2)+1)+29,"")</f>
        <v>46532</v>
      </c>
      <c r="D19" s="27">
        <f>IF(MONTH((DATE(Jahr,5,1)-WEEKDAY(DATE(Jahr,5,1),2)+1)+30)=5,(DATE(Jahr,5,1)-WEEKDAY(DATE(Jahr,5,1),2)+1)+30,"")</f>
        <v>46533</v>
      </c>
      <c r="E19" s="27">
        <f>IF(MONTH((DATE(Jahr,5,1)-WEEKDAY(DATE(Jahr,5,1),2)+1)+31)=5,(DATE(Jahr,5,1)-WEEKDAY(DATE(Jahr,5,1),2)+1)+31,"")</f>
        <v>46534</v>
      </c>
      <c r="F19" s="27">
        <f>IF(MONTH((DATE(Jahr,5,1)-WEEKDAY(DATE(Jahr,5,1),2)+1)+32)=5,(DATE(Jahr,5,1)-WEEKDAY(DATE(Jahr,5,1),2)+1)+32,"")</f>
        <v>46535</v>
      </c>
      <c r="G19" s="28">
        <f>IF(MONTH((DATE(Jahr,5,1)-WEEKDAY(DATE(Jahr,5,1),2)+1)+33)=5,(DATE(Jahr,5,1)-WEEKDAY(DATE(Jahr,5,1),2)+1)+33,"")</f>
        <v>46536</v>
      </c>
      <c r="H19" s="28">
        <f>IF(MONTH((DATE(Jahr,5,1)-WEEKDAY(DATE(Jahr,5,1),2)+1)+34)=5,(DATE(Jahr,5,1)-WEEKDAY(DATE(Jahr,5,1),2)+1)+34,"")</f>
        <v>46537</v>
      </c>
      <c r="J19" s="26">
        <f>IF(OR(MONTH((DATE(Jahr,6,1)-WEEKDAY(DATE(Jahr,6,1),2)+1)+28)=6,MONTH((DATE(Jahr,6,1)-WEEKDAY(DATE(Jahr,6,1),2)+1)+28+6)=6),_xlfn.ISOWEEKNUM((DATE(Jahr,6,1)-WEEKDAY(DATE(Jahr,6,1),2)+1)+28),"")</f>
        <v>26</v>
      </c>
      <c r="K19" s="27">
        <f>IF(MONTH((DATE(Jahr,6,1)-WEEKDAY(DATE(Jahr,6,1),2)+1)+28)=6,(DATE(Jahr,6,1)-WEEKDAY(DATE(Jahr,6,1),2)+1)+28,"")</f>
        <v>46566</v>
      </c>
      <c r="L19" s="27">
        <f>IF(MONTH((DATE(Jahr,6,1)-WEEKDAY(DATE(Jahr,6,1),2)+1)+29)=6,(DATE(Jahr,6,1)-WEEKDAY(DATE(Jahr,6,1),2)+1)+29,"")</f>
        <v>46567</v>
      </c>
      <c r="M19" s="27">
        <f>IF(MONTH((DATE(Jahr,6,1)-WEEKDAY(DATE(Jahr,6,1),2)+1)+30)=6,(DATE(Jahr,6,1)-WEEKDAY(DATE(Jahr,6,1),2)+1)+30,"")</f>
        <v>46568</v>
      </c>
      <c r="N19" s="27" t="str">
        <f>IF(MONTH((DATE(Jahr,6,1)-WEEKDAY(DATE(Jahr,6,1),2)+1)+31)=6,(DATE(Jahr,6,1)-WEEKDAY(DATE(Jahr,6,1),2)+1)+31,"")</f>
        <v/>
      </c>
      <c r="O19" s="27" t="str">
        <f>IF(MONTH((DATE(Jahr,6,1)-WEEKDAY(DATE(Jahr,6,1),2)+1)+32)=6,(DATE(Jahr,6,1)-WEEKDAY(DATE(Jahr,6,1),2)+1)+32,"")</f>
        <v/>
      </c>
      <c r="P19" s="28" t="str">
        <f>IF(MONTH((DATE(Jahr,6,1)-WEEKDAY(DATE(Jahr,6,1),2)+1)+33)=6,(DATE(Jahr,6,1)-WEEKDAY(DATE(Jahr,6,1),2)+1)+33,"")</f>
        <v/>
      </c>
      <c r="Q19" s="28" t="str">
        <f>IF(MONTH((DATE(Jahr,6,1)-WEEKDAY(DATE(Jahr,6,1),2)+1)+34)=6,(DATE(Jahr,6,1)-WEEKDAY(DATE(Jahr,6,1),2)+1)+34,"")</f>
        <v/>
      </c>
      <c r="S19" s="26">
        <f>IF(OR(MONTH((DATE(Jahr,7,1)-WEEKDAY(DATE(Jahr,7,1),2)+1)+28)=7,MONTH((DATE(Jahr,7,1)-WEEKDAY(DATE(Jahr,7,1),2)+1)+28+6)=7),_xlfn.ISOWEEKNUM((DATE(Jahr,7,1)-WEEKDAY(DATE(Jahr,7,1),2)+1)+28),"")</f>
        <v>30</v>
      </c>
      <c r="T19" s="27">
        <f>IF(MONTH((DATE(Jahr,7,1)-WEEKDAY(DATE(Jahr,7,1),2)+1)+28)=7,(DATE(Jahr,7,1)-WEEKDAY(DATE(Jahr,7,1),2)+1)+28,"")</f>
        <v>46594</v>
      </c>
      <c r="U19" s="27">
        <f>IF(MONTH((DATE(Jahr,7,1)-WEEKDAY(DATE(Jahr,7,1),2)+1)+29)=7,(DATE(Jahr,7,1)-WEEKDAY(DATE(Jahr,7,1),2)+1)+29,"")</f>
        <v>46595</v>
      </c>
      <c r="V19" s="27">
        <f>IF(MONTH((DATE(Jahr,7,1)-WEEKDAY(DATE(Jahr,7,1),2)+1)+30)=7,(DATE(Jahr,7,1)-WEEKDAY(DATE(Jahr,7,1),2)+1)+30,"")</f>
        <v>46596</v>
      </c>
      <c r="W19" s="27">
        <f>IF(MONTH((DATE(Jahr,7,1)-WEEKDAY(DATE(Jahr,7,1),2)+1)+31)=7,(DATE(Jahr,7,1)-WEEKDAY(DATE(Jahr,7,1),2)+1)+31,"")</f>
        <v>46597</v>
      </c>
      <c r="X19" s="27">
        <f>IF(MONTH((DATE(Jahr,7,1)-WEEKDAY(DATE(Jahr,7,1),2)+1)+32)=7,(DATE(Jahr,7,1)-WEEKDAY(DATE(Jahr,7,1),2)+1)+32,"")</f>
        <v>46598</v>
      </c>
      <c r="Y19" s="28">
        <f>IF(MONTH((DATE(Jahr,7,1)-WEEKDAY(DATE(Jahr,7,1),2)+1)+33)=7,(DATE(Jahr,7,1)-WEEKDAY(DATE(Jahr,7,1),2)+1)+33,"")</f>
        <v>46599</v>
      </c>
      <c r="Z19" s="28" t="str">
        <f>IF(MONTH((DATE(Jahr,7,1)-WEEKDAY(DATE(Jahr,7,1),2)+1)+34)=7,(DATE(Jahr,7,1)-WEEKDAY(DATE(Jahr,7,1),2)+1)+34,"")</f>
        <v/>
      </c>
      <c r="AB19" s="26">
        <f>IF(OR(MONTH((DATE(Jahr,8,1)-WEEKDAY(DATE(Jahr,8,1),2)+1)+28)=8,MONTH((DATE(Jahr,8,1)-WEEKDAY(DATE(Jahr,8,1),2)+1)+28+6)=8),_xlfn.ISOWEEKNUM((DATE(Jahr,8,1)-WEEKDAY(DATE(Jahr,8,1),2)+1)+28),"")</f>
        <v>34</v>
      </c>
      <c r="AC19" s="27">
        <f>IF(MONTH((DATE(Jahr,8,1)-WEEKDAY(DATE(Jahr,8,1),2)+1)+28)=8,(DATE(Jahr,8,1)-WEEKDAY(DATE(Jahr,8,1),2)+1)+28,"")</f>
        <v>46622</v>
      </c>
      <c r="AD19" s="27">
        <f>IF(MONTH((DATE(Jahr,8,1)-WEEKDAY(DATE(Jahr,8,1),2)+1)+29)=8,(DATE(Jahr,8,1)-WEEKDAY(DATE(Jahr,8,1),2)+1)+29,"")</f>
        <v>46623</v>
      </c>
      <c r="AE19" s="27">
        <f>IF(MONTH((DATE(Jahr,8,1)-WEEKDAY(DATE(Jahr,8,1),2)+1)+30)=8,(DATE(Jahr,8,1)-WEEKDAY(DATE(Jahr,8,1),2)+1)+30,"")</f>
        <v>46624</v>
      </c>
      <c r="AF19" s="27">
        <f>IF(MONTH((DATE(Jahr,8,1)-WEEKDAY(DATE(Jahr,8,1),2)+1)+31)=8,(DATE(Jahr,8,1)-WEEKDAY(DATE(Jahr,8,1),2)+1)+31,"")</f>
        <v>46625</v>
      </c>
      <c r="AG19" s="27">
        <f>IF(MONTH((DATE(Jahr,8,1)-WEEKDAY(DATE(Jahr,8,1),2)+1)+32)=8,(DATE(Jahr,8,1)-WEEKDAY(DATE(Jahr,8,1),2)+1)+32,"")</f>
        <v>46626</v>
      </c>
      <c r="AH19" s="28">
        <f>IF(MONTH((DATE(Jahr,8,1)-WEEKDAY(DATE(Jahr,8,1),2)+1)+33)=8,(DATE(Jahr,8,1)-WEEKDAY(DATE(Jahr,8,1),2)+1)+33,"")</f>
        <v>46627</v>
      </c>
      <c r="AI19" s="28">
        <f>IF(MONTH((DATE(Jahr,8,1)-WEEKDAY(DATE(Jahr,8,1),2)+1)+34)=8,(DATE(Jahr,8,1)-WEEKDAY(DATE(Jahr,8,1),2)+1)+34,"")</f>
        <v>46628</v>
      </c>
    </row>
    <row r="20" spans="1:35" ht="16.5" customHeight="1" x14ac:dyDescent="0.25">
      <c r="A20" s="26">
        <f>IF(OR(MONTH((DATE(Jahr,5,1)-WEEKDAY(DATE(Jahr,5,1),2)+1)+35)=5,MONTH((DATE(Jahr,5,1)-WEEKDAY(DATE(Jahr,5,1),2)+1)+35+6)=5),_xlfn.ISOWEEKNUM((DATE(Jahr,5,1)-WEEKDAY(DATE(Jahr,5,1),2)+1)+35),"")</f>
        <v>22</v>
      </c>
      <c r="B20" s="27">
        <f>IF(MONTH((DATE(Jahr,5,1)-WEEKDAY(DATE(Jahr,5,1),2)+1)+35)=5,(DATE(Jahr,5,1)-WEEKDAY(DATE(Jahr,5,1),2)+1)+35,"")</f>
        <v>46538</v>
      </c>
      <c r="C20" s="27" t="str">
        <f>IF(MONTH((DATE(Jahr,5,1)-WEEKDAY(DATE(Jahr,5,1),2)+1)+36)=5,(DATE(Jahr,5,1)-WEEKDAY(DATE(Jahr,5,1),2)+1)+36,"")</f>
        <v/>
      </c>
      <c r="D20" s="27" t="str">
        <f>IF(MONTH((DATE(Jahr,5,1)-WEEKDAY(DATE(Jahr,5,1),2)+1)+37)=5,(DATE(Jahr,5,1)-WEEKDAY(DATE(Jahr,5,1),2)+1)+37,"")</f>
        <v/>
      </c>
      <c r="E20" s="27" t="str">
        <f>IF(MONTH((DATE(Jahr,5,1)-WEEKDAY(DATE(Jahr,5,1),2)+1)+38)=5,(DATE(Jahr,5,1)-WEEKDAY(DATE(Jahr,5,1),2)+1)+38,"")</f>
        <v/>
      </c>
      <c r="F20" s="27" t="str">
        <f>IF(MONTH((DATE(Jahr,5,1)-WEEKDAY(DATE(Jahr,5,1),2)+1)+39)=5,(DATE(Jahr,5,1)-WEEKDAY(DATE(Jahr,5,1),2)+1)+39,"")</f>
        <v/>
      </c>
      <c r="G20" s="28" t="str">
        <f>IF(MONTH((DATE(Jahr,5,1)-WEEKDAY(DATE(Jahr,5,1),2)+1)+40)=5,(DATE(Jahr,5,1)-WEEKDAY(DATE(Jahr,5,1),2)+1)+40,"")</f>
        <v/>
      </c>
      <c r="H20" s="28" t="str">
        <f>IF(MONTH((DATE(Jahr,5,1)-WEEKDAY(DATE(Jahr,5,1),2)+1)+41)=5,(DATE(Jahr,5,1)-WEEKDAY(DATE(Jahr,5,1),2)+1)+41,"")</f>
        <v/>
      </c>
      <c r="J20" s="26" t="str">
        <f>IF(OR(MONTH((DATE(Jahr,6,1)-WEEKDAY(DATE(Jahr,6,1),2)+1)+35)=6,MONTH((DATE(Jahr,6,1)-WEEKDAY(DATE(Jahr,6,1),2)+1)+35+6)=6),_xlfn.ISOWEEKNUM((DATE(Jahr,6,1)-WEEKDAY(DATE(Jahr,6,1),2)+1)+35),"")</f>
        <v/>
      </c>
      <c r="K20" s="27" t="str">
        <f>IF(MONTH((DATE(Jahr,6,1)-WEEKDAY(DATE(Jahr,6,1),2)+1)+35)=6,(DATE(Jahr,6,1)-WEEKDAY(DATE(Jahr,6,1),2)+1)+35,"")</f>
        <v/>
      </c>
      <c r="L20" s="27" t="str">
        <f>IF(MONTH((DATE(Jahr,6,1)-WEEKDAY(DATE(Jahr,6,1),2)+1)+36)=6,(DATE(Jahr,6,1)-WEEKDAY(DATE(Jahr,6,1),2)+1)+36,"")</f>
        <v/>
      </c>
      <c r="M20" s="27" t="str">
        <f>IF(MONTH((DATE(Jahr,6,1)-WEEKDAY(DATE(Jahr,6,1),2)+1)+37)=6,(DATE(Jahr,6,1)-WEEKDAY(DATE(Jahr,6,1),2)+1)+37,"")</f>
        <v/>
      </c>
      <c r="N20" s="27" t="str">
        <f>IF(MONTH((DATE(Jahr,6,1)-WEEKDAY(DATE(Jahr,6,1),2)+1)+38)=6,(DATE(Jahr,6,1)-WEEKDAY(DATE(Jahr,6,1),2)+1)+38,"")</f>
        <v/>
      </c>
      <c r="O20" s="27" t="str">
        <f>IF(MONTH((DATE(Jahr,6,1)-WEEKDAY(DATE(Jahr,6,1),2)+1)+39)=6,(DATE(Jahr,6,1)-WEEKDAY(DATE(Jahr,6,1),2)+1)+39,"")</f>
        <v/>
      </c>
      <c r="P20" s="28" t="str">
        <f>IF(MONTH((DATE(Jahr,6,1)-WEEKDAY(DATE(Jahr,6,1),2)+1)+40)=6,(DATE(Jahr,6,1)-WEEKDAY(DATE(Jahr,6,1),2)+1)+40,"")</f>
        <v/>
      </c>
      <c r="Q20" s="28" t="str">
        <f>IF(MONTH((DATE(Jahr,6,1)-WEEKDAY(DATE(Jahr,6,1),2)+1)+41)=6,(DATE(Jahr,6,1)-WEEKDAY(DATE(Jahr,6,1),2)+1)+41,"")</f>
        <v/>
      </c>
      <c r="S20" s="26" t="str">
        <f>IF(OR(MONTH((DATE(Jahr,7,1)-WEEKDAY(DATE(Jahr,7,1),2)+1)+35)=7,MONTH((DATE(Jahr,7,1)-WEEKDAY(DATE(Jahr,7,1),2)+1)+35+6)=7),_xlfn.ISOWEEKNUM((DATE(Jahr,7,1)-WEEKDAY(DATE(Jahr,7,1),2)+1)+35),"")</f>
        <v/>
      </c>
      <c r="T20" s="27" t="str">
        <f>IF(MONTH((DATE(Jahr,7,1)-WEEKDAY(DATE(Jahr,7,1),2)+1)+35)=7,(DATE(Jahr,7,1)-WEEKDAY(DATE(Jahr,7,1),2)+1)+35,"")</f>
        <v/>
      </c>
      <c r="U20" s="27" t="str">
        <f>IF(MONTH((DATE(Jahr,7,1)-WEEKDAY(DATE(Jahr,7,1),2)+1)+36)=7,(DATE(Jahr,7,1)-WEEKDAY(DATE(Jahr,7,1),2)+1)+36,"")</f>
        <v/>
      </c>
      <c r="V20" s="27" t="str">
        <f>IF(MONTH((DATE(Jahr,7,1)-WEEKDAY(DATE(Jahr,7,1),2)+1)+37)=7,(DATE(Jahr,7,1)-WEEKDAY(DATE(Jahr,7,1),2)+1)+37,"")</f>
        <v/>
      </c>
      <c r="W20" s="27" t="str">
        <f>IF(MONTH((DATE(Jahr,7,1)-WEEKDAY(DATE(Jahr,7,1),2)+1)+38)=7,(DATE(Jahr,7,1)-WEEKDAY(DATE(Jahr,7,1),2)+1)+38,"")</f>
        <v/>
      </c>
      <c r="X20" s="27" t="str">
        <f>IF(MONTH((DATE(Jahr,7,1)-WEEKDAY(DATE(Jahr,7,1),2)+1)+39)=7,(DATE(Jahr,7,1)-WEEKDAY(DATE(Jahr,7,1),2)+1)+39,"")</f>
        <v/>
      </c>
      <c r="Y20" s="28" t="str">
        <f>IF(MONTH((DATE(Jahr,7,1)-WEEKDAY(DATE(Jahr,7,1),2)+1)+40)=7,(DATE(Jahr,7,1)-WEEKDAY(DATE(Jahr,7,1),2)+1)+40,"")</f>
        <v/>
      </c>
      <c r="Z20" s="28" t="str">
        <f>IF(MONTH((DATE(Jahr,7,1)-WEEKDAY(DATE(Jahr,7,1),2)+1)+41)=7,(DATE(Jahr,7,1)-WEEKDAY(DATE(Jahr,7,1),2)+1)+41,"")</f>
        <v/>
      </c>
      <c r="AB20" s="26">
        <f>IF(OR(MONTH((DATE(Jahr,8,1)-WEEKDAY(DATE(Jahr,8,1),2)+1)+35)=8,MONTH((DATE(Jahr,8,1)-WEEKDAY(DATE(Jahr,8,1),2)+1)+35+6)=8),_xlfn.ISOWEEKNUM((DATE(Jahr,8,1)-WEEKDAY(DATE(Jahr,8,1),2)+1)+35),"")</f>
        <v>35</v>
      </c>
      <c r="AC20" s="27">
        <f>IF(MONTH((DATE(Jahr,8,1)-WEEKDAY(DATE(Jahr,8,1),2)+1)+35)=8,(DATE(Jahr,8,1)-WEEKDAY(DATE(Jahr,8,1),2)+1)+35,"")</f>
        <v>46629</v>
      </c>
      <c r="AD20" s="27">
        <f>IF(MONTH((DATE(Jahr,8,1)-WEEKDAY(DATE(Jahr,8,1),2)+1)+36)=8,(DATE(Jahr,8,1)-WEEKDAY(DATE(Jahr,8,1),2)+1)+36,"")</f>
        <v>46630</v>
      </c>
      <c r="AE20" s="27" t="str">
        <f>IF(MONTH((DATE(Jahr,8,1)-WEEKDAY(DATE(Jahr,8,1),2)+1)+37)=8,(DATE(Jahr,8,1)-WEEKDAY(DATE(Jahr,8,1),2)+1)+37,"")</f>
        <v/>
      </c>
      <c r="AF20" s="27" t="str">
        <f>IF(MONTH((DATE(Jahr,8,1)-WEEKDAY(DATE(Jahr,8,1),2)+1)+38)=8,(DATE(Jahr,8,1)-WEEKDAY(DATE(Jahr,8,1),2)+1)+38,"")</f>
        <v/>
      </c>
      <c r="AG20" s="27" t="str">
        <f>IF(MONTH((DATE(Jahr,8,1)-WEEKDAY(DATE(Jahr,8,1),2)+1)+39)=8,(DATE(Jahr,8,1)-WEEKDAY(DATE(Jahr,8,1),2)+1)+39,"")</f>
        <v/>
      </c>
      <c r="AH20" s="28" t="str">
        <f>IF(MONTH((DATE(Jahr,8,1)-WEEKDAY(DATE(Jahr,8,1),2)+1)+40)=8,(DATE(Jahr,8,1)-WEEKDAY(DATE(Jahr,8,1),2)+1)+40,"")</f>
        <v/>
      </c>
      <c r="AI20" s="28" t="str">
        <f>IF(MONTH((DATE(Jahr,8,1)-WEEKDAY(DATE(Jahr,8,1),2)+1)+41)=8,(DATE(Jahr,8,1)-WEEKDAY(DATE(Jahr,8,1),2)+1)+41,"")</f>
        <v/>
      </c>
    </row>
    <row r="21" spans="1:35" ht="9" customHeight="1" x14ac:dyDescent="0.25"/>
    <row r="22" spans="1:35" ht="21" customHeight="1" x14ac:dyDescent="0.3">
      <c r="A22" s="21" t="s">
        <v>19</v>
      </c>
      <c r="B22" s="22"/>
      <c r="C22" s="22"/>
      <c r="D22" s="22"/>
      <c r="E22" s="22"/>
      <c r="F22" s="22"/>
      <c r="G22" s="22"/>
      <c r="H22" s="22"/>
      <c r="J22" s="21" t="s">
        <v>20</v>
      </c>
      <c r="K22" s="22"/>
      <c r="L22" s="22"/>
      <c r="M22" s="22"/>
      <c r="N22" s="22"/>
      <c r="O22" s="22"/>
      <c r="P22" s="22"/>
      <c r="Q22" s="22"/>
      <c r="S22" s="21" t="s">
        <v>21</v>
      </c>
      <c r="T22" s="22"/>
      <c r="U22" s="22"/>
      <c r="V22" s="22"/>
      <c r="W22" s="22"/>
      <c r="X22" s="22"/>
      <c r="Y22" s="22"/>
      <c r="Z22" s="22"/>
      <c r="AB22" s="21" t="s">
        <v>22</v>
      </c>
      <c r="AC22" s="22"/>
      <c r="AD22" s="22"/>
      <c r="AE22" s="22"/>
      <c r="AF22" s="22"/>
      <c r="AG22" s="22"/>
      <c r="AH22" s="22"/>
      <c r="AI22" s="22"/>
    </row>
    <row r="23" spans="1:35" ht="14.1" customHeight="1" x14ac:dyDescent="0.25">
      <c r="A23" s="23" t="s">
        <v>7</v>
      </c>
      <c r="B23" s="24" t="s">
        <v>8</v>
      </c>
      <c r="C23" s="24" t="s">
        <v>9</v>
      </c>
      <c r="D23" s="24" t="s">
        <v>10</v>
      </c>
      <c r="E23" s="24" t="s">
        <v>11</v>
      </c>
      <c r="F23" s="24" t="s">
        <v>12</v>
      </c>
      <c r="G23" s="25" t="s">
        <v>13</v>
      </c>
      <c r="H23" s="25" t="s">
        <v>14</v>
      </c>
      <c r="J23" s="23" t="s">
        <v>7</v>
      </c>
      <c r="K23" s="24" t="s">
        <v>8</v>
      </c>
      <c r="L23" s="24" t="s">
        <v>9</v>
      </c>
      <c r="M23" s="24" t="s">
        <v>10</v>
      </c>
      <c r="N23" s="24" t="s">
        <v>11</v>
      </c>
      <c r="O23" s="24" t="s">
        <v>12</v>
      </c>
      <c r="P23" s="25" t="s">
        <v>13</v>
      </c>
      <c r="Q23" s="25" t="s">
        <v>14</v>
      </c>
      <c r="S23" s="23" t="s">
        <v>7</v>
      </c>
      <c r="T23" s="24" t="s">
        <v>8</v>
      </c>
      <c r="U23" s="24" t="s">
        <v>9</v>
      </c>
      <c r="V23" s="24" t="s">
        <v>10</v>
      </c>
      <c r="W23" s="24" t="s">
        <v>11</v>
      </c>
      <c r="X23" s="24" t="s">
        <v>12</v>
      </c>
      <c r="Y23" s="25" t="s">
        <v>13</v>
      </c>
      <c r="Z23" s="25" t="s">
        <v>14</v>
      </c>
      <c r="AB23" s="23" t="s">
        <v>7</v>
      </c>
      <c r="AC23" s="24" t="s">
        <v>8</v>
      </c>
      <c r="AD23" s="24" t="s">
        <v>9</v>
      </c>
      <c r="AE23" s="24" t="s">
        <v>10</v>
      </c>
      <c r="AF23" s="24" t="s">
        <v>11</v>
      </c>
      <c r="AG23" s="24" t="s">
        <v>12</v>
      </c>
      <c r="AH23" s="25" t="s">
        <v>13</v>
      </c>
      <c r="AI23" s="25" t="s">
        <v>14</v>
      </c>
    </row>
    <row r="24" spans="1:35" ht="16.5" customHeight="1" x14ac:dyDescent="0.25">
      <c r="A24" s="26">
        <f>IF(OR(MONTH((DATE(Jahr,9,1)-WEEKDAY(DATE(Jahr,9,1),2)+1)+0)=9,MONTH((DATE(Jahr,9,1)-WEEKDAY(DATE(Jahr,9,1),2)+1)+0+6)=9),_xlfn.ISOWEEKNUM((DATE(Jahr,9,1)-WEEKDAY(DATE(Jahr,9,1),2)+1)+0),"")</f>
        <v>35</v>
      </c>
      <c r="B24" s="27" t="str">
        <f>IF(MONTH((DATE(Jahr,9,1)-WEEKDAY(DATE(Jahr,9,1),2)+1)+0)=9,(DATE(Jahr,9,1)-WEEKDAY(DATE(Jahr,9,1),2)+1)+0,"")</f>
        <v/>
      </c>
      <c r="C24" s="27" t="str">
        <f>IF(MONTH((DATE(Jahr,9,1)-WEEKDAY(DATE(Jahr,9,1),2)+1)+1)=9,(DATE(Jahr,9,1)-WEEKDAY(DATE(Jahr,9,1),2)+1)+1,"")</f>
        <v/>
      </c>
      <c r="D24" s="27">
        <f>IF(MONTH((DATE(Jahr,9,1)-WEEKDAY(DATE(Jahr,9,1),2)+1)+2)=9,(DATE(Jahr,9,1)-WEEKDAY(DATE(Jahr,9,1),2)+1)+2,"")</f>
        <v>46631</v>
      </c>
      <c r="E24" s="27">
        <f>IF(MONTH((DATE(Jahr,9,1)-WEEKDAY(DATE(Jahr,9,1),2)+1)+3)=9,(DATE(Jahr,9,1)-WEEKDAY(DATE(Jahr,9,1),2)+1)+3,"")</f>
        <v>46632</v>
      </c>
      <c r="F24" s="27">
        <f>IF(MONTH((DATE(Jahr,9,1)-WEEKDAY(DATE(Jahr,9,1),2)+1)+4)=9,(DATE(Jahr,9,1)-WEEKDAY(DATE(Jahr,9,1),2)+1)+4,"")</f>
        <v>46633</v>
      </c>
      <c r="G24" s="28">
        <f>IF(MONTH((DATE(Jahr,9,1)-WEEKDAY(DATE(Jahr,9,1),2)+1)+5)=9,(DATE(Jahr,9,1)-WEEKDAY(DATE(Jahr,9,1),2)+1)+5,"")</f>
        <v>46634</v>
      </c>
      <c r="H24" s="28">
        <f>IF(MONTH((DATE(Jahr,9,1)-WEEKDAY(DATE(Jahr,9,1),2)+1)+6)=9,(DATE(Jahr,9,1)-WEEKDAY(DATE(Jahr,9,1),2)+1)+6,"")</f>
        <v>46635</v>
      </c>
      <c r="J24" s="26">
        <f>IF(OR(MONTH((DATE(Jahr,10,1)-WEEKDAY(DATE(Jahr,10,1),2)+1)+0)=10,MONTH((DATE(Jahr,10,1)-WEEKDAY(DATE(Jahr,10,1),2)+1)+0+6)=10),_xlfn.ISOWEEKNUM((DATE(Jahr,10,1)-WEEKDAY(DATE(Jahr,10,1),2)+1)+0),"")</f>
        <v>39</v>
      </c>
      <c r="K24" s="27" t="str">
        <f>IF(MONTH((DATE(Jahr,10,1)-WEEKDAY(DATE(Jahr,10,1),2)+1)+0)=10,(DATE(Jahr,10,1)-WEEKDAY(DATE(Jahr,10,1),2)+1)+0,"")</f>
        <v/>
      </c>
      <c r="L24" s="27" t="str">
        <f>IF(MONTH((DATE(Jahr,10,1)-WEEKDAY(DATE(Jahr,10,1),2)+1)+1)=10,(DATE(Jahr,10,1)-WEEKDAY(DATE(Jahr,10,1),2)+1)+1,"")</f>
        <v/>
      </c>
      <c r="M24" s="27" t="str">
        <f>IF(MONTH((DATE(Jahr,10,1)-WEEKDAY(DATE(Jahr,10,1),2)+1)+2)=10,(DATE(Jahr,10,1)-WEEKDAY(DATE(Jahr,10,1),2)+1)+2,"")</f>
        <v/>
      </c>
      <c r="N24" s="27" t="str">
        <f>IF(MONTH((DATE(Jahr,10,1)-WEEKDAY(DATE(Jahr,10,1),2)+1)+3)=10,(DATE(Jahr,10,1)-WEEKDAY(DATE(Jahr,10,1),2)+1)+3,"")</f>
        <v/>
      </c>
      <c r="O24" s="27">
        <f>IF(MONTH((DATE(Jahr,10,1)-WEEKDAY(DATE(Jahr,10,1),2)+1)+4)=10,(DATE(Jahr,10,1)-WEEKDAY(DATE(Jahr,10,1),2)+1)+4,"")</f>
        <v>46661</v>
      </c>
      <c r="P24" s="28">
        <f>IF(MONTH((DATE(Jahr,10,1)-WEEKDAY(DATE(Jahr,10,1),2)+1)+5)=10,(DATE(Jahr,10,1)-WEEKDAY(DATE(Jahr,10,1),2)+1)+5,"")</f>
        <v>46662</v>
      </c>
      <c r="Q24" s="28">
        <f>IF(MONTH((DATE(Jahr,10,1)-WEEKDAY(DATE(Jahr,10,1),2)+1)+6)=10,(DATE(Jahr,10,1)-WEEKDAY(DATE(Jahr,10,1),2)+1)+6,"")</f>
        <v>46663</v>
      </c>
      <c r="S24" s="26">
        <f>IF(OR(MONTH((DATE(Jahr,11,1)-WEEKDAY(DATE(Jahr,11,1),2)+1)+0)=11,MONTH((DATE(Jahr,11,1)-WEEKDAY(DATE(Jahr,11,1),2)+1)+0+6)=11),_xlfn.ISOWEEKNUM((DATE(Jahr,11,1)-WEEKDAY(DATE(Jahr,11,1),2)+1)+0),"")</f>
        <v>44</v>
      </c>
      <c r="T24" s="27">
        <f>IF(MONTH((DATE(Jahr,11,1)-WEEKDAY(DATE(Jahr,11,1),2)+1)+0)=11,(DATE(Jahr,11,1)-WEEKDAY(DATE(Jahr,11,1),2)+1)+0,"")</f>
        <v>46692</v>
      </c>
      <c r="U24" s="27">
        <f>IF(MONTH((DATE(Jahr,11,1)-WEEKDAY(DATE(Jahr,11,1),2)+1)+1)=11,(DATE(Jahr,11,1)-WEEKDAY(DATE(Jahr,11,1),2)+1)+1,"")</f>
        <v>46693</v>
      </c>
      <c r="V24" s="27">
        <f>IF(MONTH((DATE(Jahr,11,1)-WEEKDAY(DATE(Jahr,11,1),2)+1)+2)=11,(DATE(Jahr,11,1)-WEEKDAY(DATE(Jahr,11,1),2)+1)+2,"")</f>
        <v>46694</v>
      </c>
      <c r="W24" s="27">
        <f>IF(MONTH((DATE(Jahr,11,1)-WEEKDAY(DATE(Jahr,11,1),2)+1)+3)=11,(DATE(Jahr,11,1)-WEEKDAY(DATE(Jahr,11,1),2)+1)+3,"")</f>
        <v>46695</v>
      </c>
      <c r="X24" s="27">
        <f>IF(MONTH((DATE(Jahr,11,1)-WEEKDAY(DATE(Jahr,11,1),2)+1)+4)=11,(DATE(Jahr,11,1)-WEEKDAY(DATE(Jahr,11,1),2)+1)+4,"")</f>
        <v>46696</v>
      </c>
      <c r="Y24" s="28">
        <f>IF(MONTH((DATE(Jahr,11,1)-WEEKDAY(DATE(Jahr,11,1),2)+1)+5)=11,(DATE(Jahr,11,1)-WEEKDAY(DATE(Jahr,11,1),2)+1)+5,"")</f>
        <v>46697</v>
      </c>
      <c r="Z24" s="28">
        <f>IF(MONTH((DATE(Jahr,11,1)-WEEKDAY(DATE(Jahr,11,1),2)+1)+6)=11,(DATE(Jahr,11,1)-WEEKDAY(DATE(Jahr,11,1),2)+1)+6,"")</f>
        <v>46698</v>
      </c>
      <c r="AB24" s="26">
        <f>IF(OR(MONTH((DATE(Jahr,12,1)-WEEKDAY(DATE(Jahr,12,1),2)+1)+0)=12,MONTH((DATE(Jahr,12,1)-WEEKDAY(DATE(Jahr,12,1),2)+1)+0+6)=12),_xlfn.ISOWEEKNUM((DATE(Jahr,12,1)-WEEKDAY(DATE(Jahr,12,1),2)+1)+0),"")</f>
        <v>48</v>
      </c>
      <c r="AC24" s="27" t="str">
        <f>IF(MONTH((DATE(Jahr,12,1)-WEEKDAY(DATE(Jahr,12,1),2)+1)+0)=12,(DATE(Jahr,12,1)-WEEKDAY(DATE(Jahr,12,1),2)+1)+0,"")</f>
        <v/>
      </c>
      <c r="AD24" s="27" t="str">
        <f>IF(MONTH((DATE(Jahr,12,1)-WEEKDAY(DATE(Jahr,12,1),2)+1)+1)=12,(DATE(Jahr,12,1)-WEEKDAY(DATE(Jahr,12,1),2)+1)+1,"")</f>
        <v/>
      </c>
      <c r="AE24" s="27">
        <f>IF(MONTH((DATE(Jahr,12,1)-WEEKDAY(DATE(Jahr,12,1),2)+1)+2)=12,(DATE(Jahr,12,1)-WEEKDAY(DATE(Jahr,12,1),2)+1)+2,"")</f>
        <v>46722</v>
      </c>
      <c r="AF24" s="27">
        <f>IF(MONTH((DATE(Jahr,12,1)-WEEKDAY(DATE(Jahr,12,1),2)+1)+3)=12,(DATE(Jahr,12,1)-WEEKDAY(DATE(Jahr,12,1),2)+1)+3,"")</f>
        <v>46723</v>
      </c>
      <c r="AG24" s="27">
        <f>IF(MONTH((DATE(Jahr,12,1)-WEEKDAY(DATE(Jahr,12,1),2)+1)+4)=12,(DATE(Jahr,12,1)-WEEKDAY(DATE(Jahr,12,1),2)+1)+4,"")</f>
        <v>46724</v>
      </c>
      <c r="AH24" s="28">
        <f>IF(MONTH((DATE(Jahr,12,1)-WEEKDAY(DATE(Jahr,12,1),2)+1)+5)=12,(DATE(Jahr,12,1)-WEEKDAY(DATE(Jahr,12,1),2)+1)+5,"")</f>
        <v>46725</v>
      </c>
      <c r="AI24" s="28">
        <f>IF(MONTH((DATE(Jahr,12,1)-WEEKDAY(DATE(Jahr,12,1),2)+1)+6)=12,(DATE(Jahr,12,1)-WEEKDAY(DATE(Jahr,12,1),2)+1)+6,"")</f>
        <v>46726</v>
      </c>
    </row>
    <row r="25" spans="1:35" ht="16.5" customHeight="1" x14ac:dyDescent="0.25">
      <c r="A25" s="26">
        <f>IF(OR(MONTH((DATE(Jahr,9,1)-WEEKDAY(DATE(Jahr,9,1),2)+1)+7)=9,MONTH((DATE(Jahr,9,1)-WEEKDAY(DATE(Jahr,9,1),2)+1)+7+6)=9),_xlfn.ISOWEEKNUM((DATE(Jahr,9,1)-WEEKDAY(DATE(Jahr,9,1),2)+1)+7),"")</f>
        <v>36</v>
      </c>
      <c r="B25" s="27">
        <f>IF(MONTH((DATE(Jahr,9,1)-WEEKDAY(DATE(Jahr,9,1),2)+1)+7)=9,(DATE(Jahr,9,1)-WEEKDAY(DATE(Jahr,9,1),2)+1)+7,"")</f>
        <v>46636</v>
      </c>
      <c r="C25" s="27">
        <f>IF(MONTH((DATE(Jahr,9,1)-WEEKDAY(DATE(Jahr,9,1),2)+1)+8)=9,(DATE(Jahr,9,1)-WEEKDAY(DATE(Jahr,9,1),2)+1)+8,"")</f>
        <v>46637</v>
      </c>
      <c r="D25" s="27">
        <f>IF(MONTH((DATE(Jahr,9,1)-WEEKDAY(DATE(Jahr,9,1),2)+1)+9)=9,(DATE(Jahr,9,1)-WEEKDAY(DATE(Jahr,9,1),2)+1)+9,"")</f>
        <v>46638</v>
      </c>
      <c r="E25" s="27">
        <f>IF(MONTH((DATE(Jahr,9,1)-WEEKDAY(DATE(Jahr,9,1),2)+1)+10)=9,(DATE(Jahr,9,1)-WEEKDAY(DATE(Jahr,9,1),2)+1)+10,"")</f>
        <v>46639</v>
      </c>
      <c r="F25" s="27">
        <f>IF(MONTH((DATE(Jahr,9,1)-WEEKDAY(DATE(Jahr,9,1),2)+1)+11)=9,(DATE(Jahr,9,1)-WEEKDAY(DATE(Jahr,9,1),2)+1)+11,"")</f>
        <v>46640</v>
      </c>
      <c r="G25" s="28">
        <f>IF(MONTH((DATE(Jahr,9,1)-WEEKDAY(DATE(Jahr,9,1),2)+1)+12)=9,(DATE(Jahr,9,1)-WEEKDAY(DATE(Jahr,9,1),2)+1)+12,"")</f>
        <v>46641</v>
      </c>
      <c r="H25" s="28">
        <f>IF(MONTH((DATE(Jahr,9,1)-WEEKDAY(DATE(Jahr,9,1),2)+1)+13)=9,(DATE(Jahr,9,1)-WEEKDAY(DATE(Jahr,9,1),2)+1)+13,"")</f>
        <v>46642</v>
      </c>
      <c r="J25" s="26">
        <f>IF(OR(MONTH((DATE(Jahr,10,1)-WEEKDAY(DATE(Jahr,10,1),2)+1)+7)=10,MONTH((DATE(Jahr,10,1)-WEEKDAY(DATE(Jahr,10,1),2)+1)+7+6)=10),_xlfn.ISOWEEKNUM((DATE(Jahr,10,1)-WEEKDAY(DATE(Jahr,10,1),2)+1)+7),"")</f>
        <v>40</v>
      </c>
      <c r="K25" s="27">
        <f>IF(MONTH((DATE(Jahr,10,1)-WEEKDAY(DATE(Jahr,10,1),2)+1)+7)=10,(DATE(Jahr,10,1)-WEEKDAY(DATE(Jahr,10,1),2)+1)+7,"")</f>
        <v>46664</v>
      </c>
      <c r="L25" s="27">
        <f>IF(MONTH((DATE(Jahr,10,1)-WEEKDAY(DATE(Jahr,10,1),2)+1)+8)=10,(DATE(Jahr,10,1)-WEEKDAY(DATE(Jahr,10,1),2)+1)+8,"")</f>
        <v>46665</v>
      </c>
      <c r="M25" s="27">
        <f>IF(MONTH((DATE(Jahr,10,1)-WEEKDAY(DATE(Jahr,10,1),2)+1)+9)=10,(DATE(Jahr,10,1)-WEEKDAY(DATE(Jahr,10,1),2)+1)+9,"")</f>
        <v>46666</v>
      </c>
      <c r="N25" s="27">
        <f>IF(MONTH((DATE(Jahr,10,1)-WEEKDAY(DATE(Jahr,10,1),2)+1)+10)=10,(DATE(Jahr,10,1)-WEEKDAY(DATE(Jahr,10,1),2)+1)+10,"")</f>
        <v>46667</v>
      </c>
      <c r="O25" s="27">
        <f>IF(MONTH((DATE(Jahr,10,1)-WEEKDAY(DATE(Jahr,10,1),2)+1)+11)=10,(DATE(Jahr,10,1)-WEEKDAY(DATE(Jahr,10,1),2)+1)+11,"")</f>
        <v>46668</v>
      </c>
      <c r="P25" s="28">
        <f>IF(MONTH((DATE(Jahr,10,1)-WEEKDAY(DATE(Jahr,10,1),2)+1)+12)=10,(DATE(Jahr,10,1)-WEEKDAY(DATE(Jahr,10,1),2)+1)+12,"")</f>
        <v>46669</v>
      </c>
      <c r="Q25" s="28">
        <f>IF(MONTH((DATE(Jahr,10,1)-WEEKDAY(DATE(Jahr,10,1),2)+1)+13)=10,(DATE(Jahr,10,1)-WEEKDAY(DATE(Jahr,10,1),2)+1)+13,"")</f>
        <v>46670</v>
      </c>
      <c r="S25" s="26">
        <f>IF(OR(MONTH((DATE(Jahr,11,1)-WEEKDAY(DATE(Jahr,11,1),2)+1)+7)=11,MONTH((DATE(Jahr,11,1)-WEEKDAY(DATE(Jahr,11,1),2)+1)+7+6)=11),_xlfn.ISOWEEKNUM((DATE(Jahr,11,1)-WEEKDAY(DATE(Jahr,11,1),2)+1)+7),"")</f>
        <v>45</v>
      </c>
      <c r="T25" s="27">
        <f>IF(MONTH((DATE(Jahr,11,1)-WEEKDAY(DATE(Jahr,11,1),2)+1)+7)=11,(DATE(Jahr,11,1)-WEEKDAY(DATE(Jahr,11,1),2)+1)+7,"")</f>
        <v>46699</v>
      </c>
      <c r="U25" s="27">
        <f>IF(MONTH((DATE(Jahr,11,1)-WEEKDAY(DATE(Jahr,11,1),2)+1)+8)=11,(DATE(Jahr,11,1)-WEEKDAY(DATE(Jahr,11,1),2)+1)+8,"")</f>
        <v>46700</v>
      </c>
      <c r="V25" s="27">
        <f>IF(MONTH((DATE(Jahr,11,1)-WEEKDAY(DATE(Jahr,11,1),2)+1)+9)=11,(DATE(Jahr,11,1)-WEEKDAY(DATE(Jahr,11,1),2)+1)+9,"")</f>
        <v>46701</v>
      </c>
      <c r="W25" s="27">
        <f>IF(MONTH((DATE(Jahr,11,1)-WEEKDAY(DATE(Jahr,11,1),2)+1)+10)=11,(DATE(Jahr,11,1)-WEEKDAY(DATE(Jahr,11,1),2)+1)+10,"")</f>
        <v>46702</v>
      </c>
      <c r="X25" s="27">
        <f>IF(MONTH((DATE(Jahr,11,1)-WEEKDAY(DATE(Jahr,11,1),2)+1)+11)=11,(DATE(Jahr,11,1)-WEEKDAY(DATE(Jahr,11,1),2)+1)+11,"")</f>
        <v>46703</v>
      </c>
      <c r="Y25" s="28">
        <f>IF(MONTH((DATE(Jahr,11,1)-WEEKDAY(DATE(Jahr,11,1),2)+1)+12)=11,(DATE(Jahr,11,1)-WEEKDAY(DATE(Jahr,11,1),2)+1)+12,"")</f>
        <v>46704</v>
      </c>
      <c r="Z25" s="28">
        <f>IF(MONTH((DATE(Jahr,11,1)-WEEKDAY(DATE(Jahr,11,1),2)+1)+13)=11,(DATE(Jahr,11,1)-WEEKDAY(DATE(Jahr,11,1),2)+1)+13,"")</f>
        <v>46705</v>
      </c>
      <c r="AB25" s="26">
        <f>IF(OR(MONTH((DATE(Jahr,12,1)-WEEKDAY(DATE(Jahr,12,1),2)+1)+7)=12,MONTH((DATE(Jahr,12,1)-WEEKDAY(DATE(Jahr,12,1),2)+1)+7+6)=12),_xlfn.ISOWEEKNUM((DATE(Jahr,12,1)-WEEKDAY(DATE(Jahr,12,1),2)+1)+7),"")</f>
        <v>49</v>
      </c>
      <c r="AC25" s="27">
        <f>IF(MONTH((DATE(Jahr,12,1)-WEEKDAY(DATE(Jahr,12,1),2)+1)+7)=12,(DATE(Jahr,12,1)-WEEKDAY(DATE(Jahr,12,1),2)+1)+7,"")</f>
        <v>46727</v>
      </c>
      <c r="AD25" s="27">
        <f>IF(MONTH((DATE(Jahr,12,1)-WEEKDAY(DATE(Jahr,12,1),2)+1)+8)=12,(DATE(Jahr,12,1)-WEEKDAY(DATE(Jahr,12,1),2)+1)+8,"")</f>
        <v>46728</v>
      </c>
      <c r="AE25" s="27">
        <f>IF(MONTH((DATE(Jahr,12,1)-WEEKDAY(DATE(Jahr,12,1),2)+1)+9)=12,(DATE(Jahr,12,1)-WEEKDAY(DATE(Jahr,12,1),2)+1)+9,"")</f>
        <v>46729</v>
      </c>
      <c r="AF25" s="27">
        <f>IF(MONTH((DATE(Jahr,12,1)-WEEKDAY(DATE(Jahr,12,1),2)+1)+10)=12,(DATE(Jahr,12,1)-WEEKDAY(DATE(Jahr,12,1),2)+1)+10,"")</f>
        <v>46730</v>
      </c>
      <c r="AG25" s="27">
        <f>IF(MONTH((DATE(Jahr,12,1)-WEEKDAY(DATE(Jahr,12,1),2)+1)+11)=12,(DATE(Jahr,12,1)-WEEKDAY(DATE(Jahr,12,1),2)+1)+11,"")</f>
        <v>46731</v>
      </c>
      <c r="AH25" s="28">
        <f>IF(MONTH((DATE(Jahr,12,1)-WEEKDAY(DATE(Jahr,12,1),2)+1)+12)=12,(DATE(Jahr,12,1)-WEEKDAY(DATE(Jahr,12,1),2)+1)+12,"")</f>
        <v>46732</v>
      </c>
      <c r="AI25" s="28">
        <f>IF(MONTH((DATE(Jahr,12,1)-WEEKDAY(DATE(Jahr,12,1),2)+1)+13)=12,(DATE(Jahr,12,1)-WEEKDAY(DATE(Jahr,12,1),2)+1)+13,"")</f>
        <v>46733</v>
      </c>
    </row>
    <row r="26" spans="1:35" ht="16.5" customHeight="1" x14ac:dyDescent="0.25">
      <c r="A26" s="26">
        <f>IF(OR(MONTH((DATE(Jahr,9,1)-WEEKDAY(DATE(Jahr,9,1),2)+1)+14)=9,MONTH((DATE(Jahr,9,1)-WEEKDAY(DATE(Jahr,9,1),2)+1)+14+6)=9),_xlfn.ISOWEEKNUM((DATE(Jahr,9,1)-WEEKDAY(DATE(Jahr,9,1),2)+1)+14),"")</f>
        <v>37</v>
      </c>
      <c r="B26" s="27">
        <f>IF(MONTH((DATE(Jahr,9,1)-WEEKDAY(DATE(Jahr,9,1),2)+1)+14)=9,(DATE(Jahr,9,1)-WEEKDAY(DATE(Jahr,9,1),2)+1)+14,"")</f>
        <v>46643</v>
      </c>
      <c r="C26" s="27">
        <f>IF(MONTH((DATE(Jahr,9,1)-WEEKDAY(DATE(Jahr,9,1),2)+1)+15)=9,(DATE(Jahr,9,1)-WEEKDAY(DATE(Jahr,9,1),2)+1)+15,"")</f>
        <v>46644</v>
      </c>
      <c r="D26" s="27">
        <f>IF(MONTH((DATE(Jahr,9,1)-WEEKDAY(DATE(Jahr,9,1),2)+1)+16)=9,(DATE(Jahr,9,1)-WEEKDAY(DATE(Jahr,9,1),2)+1)+16,"")</f>
        <v>46645</v>
      </c>
      <c r="E26" s="27">
        <f>IF(MONTH((DATE(Jahr,9,1)-WEEKDAY(DATE(Jahr,9,1),2)+1)+17)=9,(DATE(Jahr,9,1)-WEEKDAY(DATE(Jahr,9,1),2)+1)+17,"")</f>
        <v>46646</v>
      </c>
      <c r="F26" s="27">
        <f>IF(MONTH((DATE(Jahr,9,1)-WEEKDAY(DATE(Jahr,9,1),2)+1)+18)=9,(DATE(Jahr,9,1)-WEEKDAY(DATE(Jahr,9,1),2)+1)+18,"")</f>
        <v>46647</v>
      </c>
      <c r="G26" s="28">
        <f>IF(MONTH((DATE(Jahr,9,1)-WEEKDAY(DATE(Jahr,9,1),2)+1)+19)=9,(DATE(Jahr,9,1)-WEEKDAY(DATE(Jahr,9,1),2)+1)+19,"")</f>
        <v>46648</v>
      </c>
      <c r="H26" s="28">
        <f>IF(MONTH((DATE(Jahr,9,1)-WEEKDAY(DATE(Jahr,9,1),2)+1)+20)=9,(DATE(Jahr,9,1)-WEEKDAY(DATE(Jahr,9,1),2)+1)+20,"")</f>
        <v>46649</v>
      </c>
      <c r="J26" s="26">
        <f>IF(OR(MONTH((DATE(Jahr,10,1)-WEEKDAY(DATE(Jahr,10,1),2)+1)+14)=10,MONTH((DATE(Jahr,10,1)-WEEKDAY(DATE(Jahr,10,1),2)+1)+14+6)=10),_xlfn.ISOWEEKNUM((DATE(Jahr,10,1)-WEEKDAY(DATE(Jahr,10,1),2)+1)+14),"")</f>
        <v>41</v>
      </c>
      <c r="K26" s="27">
        <f>IF(MONTH((DATE(Jahr,10,1)-WEEKDAY(DATE(Jahr,10,1),2)+1)+14)=10,(DATE(Jahr,10,1)-WEEKDAY(DATE(Jahr,10,1),2)+1)+14,"")</f>
        <v>46671</v>
      </c>
      <c r="L26" s="27">
        <f>IF(MONTH((DATE(Jahr,10,1)-WEEKDAY(DATE(Jahr,10,1),2)+1)+15)=10,(DATE(Jahr,10,1)-WEEKDAY(DATE(Jahr,10,1),2)+1)+15,"")</f>
        <v>46672</v>
      </c>
      <c r="M26" s="27">
        <f>IF(MONTH((DATE(Jahr,10,1)-WEEKDAY(DATE(Jahr,10,1),2)+1)+16)=10,(DATE(Jahr,10,1)-WEEKDAY(DATE(Jahr,10,1),2)+1)+16,"")</f>
        <v>46673</v>
      </c>
      <c r="N26" s="27">
        <f>IF(MONTH((DATE(Jahr,10,1)-WEEKDAY(DATE(Jahr,10,1),2)+1)+17)=10,(DATE(Jahr,10,1)-WEEKDAY(DATE(Jahr,10,1),2)+1)+17,"")</f>
        <v>46674</v>
      </c>
      <c r="O26" s="27">
        <f>IF(MONTH((DATE(Jahr,10,1)-WEEKDAY(DATE(Jahr,10,1),2)+1)+18)=10,(DATE(Jahr,10,1)-WEEKDAY(DATE(Jahr,10,1),2)+1)+18,"")</f>
        <v>46675</v>
      </c>
      <c r="P26" s="28">
        <f>IF(MONTH((DATE(Jahr,10,1)-WEEKDAY(DATE(Jahr,10,1),2)+1)+19)=10,(DATE(Jahr,10,1)-WEEKDAY(DATE(Jahr,10,1),2)+1)+19,"")</f>
        <v>46676</v>
      </c>
      <c r="Q26" s="28">
        <f>IF(MONTH((DATE(Jahr,10,1)-WEEKDAY(DATE(Jahr,10,1),2)+1)+20)=10,(DATE(Jahr,10,1)-WEEKDAY(DATE(Jahr,10,1),2)+1)+20,"")</f>
        <v>46677</v>
      </c>
      <c r="S26" s="26">
        <f>IF(OR(MONTH((DATE(Jahr,11,1)-WEEKDAY(DATE(Jahr,11,1),2)+1)+14)=11,MONTH((DATE(Jahr,11,1)-WEEKDAY(DATE(Jahr,11,1),2)+1)+14+6)=11),_xlfn.ISOWEEKNUM((DATE(Jahr,11,1)-WEEKDAY(DATE(Jahr,11,1),2)+1)+14),"")</f>
        <v>46</v>
      </c>
      <c r="T26" s="27">
        <f>IF(MONTH((DATE(Jahr,11,1)-WEEKDAY(DATE(Jahr,11,1),2)+1)+14)=11,(DATE(Jahr,11,1)-WEEKDAY(DATE(Jahr,11,1),2)+1)+14,"")</f>
        <v>46706</v>
      </c>
      <c r="U26" s="27">
        <f>IF(MONTH((DATE(Jahr,11,1)-WEEKDAY(DATE(Jahr,11,1),2)+1)+15)=11,(DATE(Jahr,11,1)-WEEKDAY(DATE(Jahr,11,1),2)+1)+15,"")</f>
        <v>46707</v>
      </c>
      <c r="V26" s="27">
        <f>IF(MONTH((DATE(Jahr,11,1)-WEEKDAY(DATE(Jahr,11,1),2)+1)+16)=11,(DATE(Jahr,11,1)-WEEKDAY(DATE(Jahr,11,1),2)+1)+16,"")</f>
        <v>46708</v>
      </c>
      <c r="W26" s="27">
        <f>IF(MONTH((DATE(Jahr,11,1)-WEEKDAY(DATE(Jahr,11,1),2)+1)+17)=11,(DATE(Jahr,11,1)-WEEKDAY(DATE(Jahr,11,1),2)+1)+17,"")</f>
        <v>46709</v>
      </c>
      <c r="X26" s="27">
        <f>IF(MONTH((DATE(Jahr,11,1)-WEEKDAY(DATE(Jahr,11,1),2)+1)+18)=11,(DATE(Jahr,11,1)-WEEKDAY(DATE(Jahr,11,1),2)+1)+18,"")</f>
        <v>46710</v>
      </c>
      <c r="Y26" s="28">
        <f>IF(MONTH((DATE(Jahr,11,1)-WEEKDAY(DATE(Jahr,11,1),2)+1)+19)=11,(DATE(Jahr,11,1)-WEEKDAY(DATE(Jahr,11,1),2)+1)+19,"")</f>
        <v>46711</v>
      </c>
      <c r="Z26" s="28">
        <f>IF(MONTH((DATE(Jahr,11,1)-WEEKDAY(DATE(Jahr,11,1),2)+1)+20)=11,(DATE(Jahr,11,1)-WEEKDAY(DATE(Jahr,11,1),2)+1)+20,"")</f>
        <v>46712</v>
      </c>
      <c r="AB26" s="26">
        <f>IF(OR(MONTH((DATE(Jahr,12,1)-WEEKDAY(DATE(Jahr,12,1),2)+1)+14)=12,MONTH((DATE(Jahr,12,1)-WEEKDAY(DATE(Jahr,12,1),2)+1)+14+6)=12),_xlfn.ISOWEEKNUM((DATE(Jahr,12,1)-WEEKDAY(DATE(Jahr,12,1),2)+1)+14),"")</f>
        <v>50</v>
      </c>
      <c r="AC26" s="27">
        <f>IF(MONTH((DATE(Jahr,12,1)-WEEKDAY(DATE(Jahr,12,1),2)+1)+14)=12,(DATE(Jahr,12,1)-WEEKDAY(DATE(Jahr,12,1),2)+1)+14,"")</f>
        <v>46734</v>
      </c>
      <c r="AD26" s="27">
        <f>IF(MONTH((DATE(Jahr,12,1)-WEEKDAY(DATE(Jahr,12,1),2)+1)+15)=12,(DATE(Jahr,12,1)-WEEKDAY(DATE(Jahr,12,1),2)+1)+15,"")</f>
        <v>46735</v>
      </c>
      <c r="AE26" s="27">
        <f>IF(MONTH((DATE(Jahr,12,1)-WEEKDAY(DATE(Jahr,12,1),2)+1)+16)=12,(DATE(Jahr,12,1)-WEEKDAY(DATE(Jahr,12,1),2)+1)+16,"")</f>
        <v>46736</v>
      </c>
      <c r="AF26" s="27">
        <f>IF(MONTH((DATE(Jahr,12,1)-WEEKDAY(DATE(Jahr,12,1),2)+1)+17)=12,(DATE(Jahr,12,1)-WEEKDAY(DATE(Jahr,12,1),2)+1)+17,"")</f>
        <v>46737</v>
      </c>
      <c r="AG26" s="27">
        <f>IF(MONTH((DATE(Jahr,12,1)-WEEKDAY(DATE(Jahr,12,1),2)+1)+18)=12,(DATE(Jahr,12,1)-WEEKDAY(DATE(Jahr,12,1),2)+1)+18,"")</f>
        <v>46738</v>
      </c>
      <c r="AH26" s="28">
        <f>IF(MONTH((DATE(Jahr,12,1)-WEEKDAY(DATE(Jahr,12,1),2)+1)+19)=12,(DATE(Jahr,12,1)-WEEKDAY(DATE(Jahr,12,1),2)+1)+19,"")</f>
        <v>46739</v>
      </c>
      <c r="AI26" s="28">
        <f>IF(MONTH((DATE(Jahr,12,1)-WEEKDAY(DATE(Jahr,12,1),2)+1)+20)=12,(DATE(Jahr,12,1)-WEEKDAY(DATE(Jahr,12,1),2)+1)+20,"")</f>
        <v>46740</v>
      </c>
    </row>
    <row r="27" spans="1:35" ht="16.5" customHeight="1" x14ac:dyDescent="0.25">
      <c r="A27" s="26">
        <f>IF(OR(MONTH((DATE(Jahr,9,1)-WEEKDAY(DATE(Jahr,9,1),2)+1)+21)=9,MONTH((DATE(Jahr,9,1)-WEEKDAY(DATE(Jahr,9,1),2)+1)+21+6)=9),_xlfn.ISOWEEKNUM((DATE(Jahr,9,1)-WEEKDAY(DATE(Jahr,9,1),2)+1)+21),"")</f>
        <v>38</v>
      </c>
      <c r="B27" s="27">
        <f>IF(MONTH((DATE(Jahr,9,1)-WEEKDAY(DATE(Jahr,9,1),2)+1)+21)=9,(DATE(Jahr,9,1)-WEEKDAY(DATE(Jahr,9,1),2)+1)+21,"")</f>
        <v>46650</v>
      </c>
      <c r="C27" s="27">
        <f>IF(MONTH((DATE(Jahr,9,1)-WEEKDAY(DATE(Jahr,9,1),2)+1)+22)=9,(DATE(Jahr,9,1)-WEEKDAY(DATE(Jahr,9,1),2)+1)+22,"")</f>
        <v>46651</v>
      </c>
      <c r="D27" s="27">
        <f>IF(MONTH((DATE(Jahr,9,1)-WEEKDAY(DATE(Jahr,9,1),2)+1)+23)=9,(DATE(Jahr,9,1)-WEEKDAY(DATE(Jahr,9,1),2)+1)+23,"")</f>
        <v>46652</v>
      </c>
      <c r="E27" s="27">
        <f>IF(MONTH((DATE(Jahr,9,1)-WEEKDAY(DATE(Jahr,9,1),2)+1)+24)=9,(DATE(Jahr,9,1)-WEEKDAY(DATE(Jahr,9,1),2)+1)+24,"")</f>
        <v>46653</v>
      </c>
      <c r="F27" s="27">
        <f>IF(MONTH((DATE(Jahr,9,1)-WEEKDAY(DATE(Jahr,9,1),2)+1)+25)=9,(DATE(Jahr,9,1)-WEEKDAY(DATE(Jahr,9,1),2)+1)+25,"")</f>
        <v>46654</v>
      </c>
      <c r="G27" s="28">
        <f>IF(MONTH((DATE(Jahr,9,1)-WEEKDAY(DATE(Jahr,9,1),2)+1)+26)=9,(DATE(Jahr,9,1)-WEEKDAY(DATE(Jahr,9,1),2)+1)+26,"")</f>
        <v>46655</v>
      </c>
      <c r="H27" s="28">
        <f>IF(MONTH((DATE(Jahr,9,1)-WEEKDAY(DATE(Jahr,9,1),2)+1)+27)=9,(DATE(Jahr,9,1)-WEEKDAY(DATE(Jahr,9,1),2)+1)+27,"")</f>
        <v>46656</v>
      </c>
      <c r="J27" s="26">
        <f>IF(OR(MONTH((DATE(Jahr,10,1)-WEEKDAY(DATE(Jahr,10,1),2)+1)+21)=10,MONTH((DATE(Jahr,10,1)-WEEKDAY(DATE(Jahr,10,1),2)+1)+21+6)=10),_xlfn.ISOWEEKNUM((DATE(Jahr,10,1)-WEEKDAY(DATE(Jahr,10,1),2)+1)+21),"")</f>
        <v>42</v>
      </c>
      <c r="K27" s="27">
        <f>IF(MONTH((DATE(Jahr,10,1)-WEEKDAY(DATE(Jahr,10,1),2)+1)+21)=10,(DATE(Jahr,10,1)-WEEKDAY(DATE(Jahr,10,1),2)+1)+21,"")</f>
        <v>46678</v>
      </c>
      <c r="L27" s="27">
        <f>IF(MONTH((DATE(Jahr,10,1)-WEEKDAY(DATE(Jahr,10,1),2)+1)+22)=10,(DATE(Jahr,10,1)-WEEKDAY(DATE(Jahr,10,1),2)+1)+22,"")</f>
        <v>46679</v>
      </c>
      <c r="M27" s="27">
        <f>IF(MONTH((DATE(Jahr,10,1)-WEEKDAY(DATE(Jahr,10,1),2)+1)+23)=10,(DATE(Jahr,10,1)-WEEKDAY(DATE(Jahr,10,1),2)+1)+23,"")</f>
        <v>46680</v>
      </c>
      <c r="N27" s="27">
        <f>IF(MONTH((DATE(Jahr,10,1)-WEEKDAY(DATE(Jahr,10,1),2)+1)+24)=10,(DATE(Jahr,10,1)-WEEKDAY(DATE(Jahr,10,1),2)+1)+24,"")</f>
        <v>46681</v>
      </c>
      <c r="O27" s="27">
        <f>IF(MONTH((DATE(Jahr,10,1)-WEEKDAY(DATE(Jahr,10,1),2)+1)+25)=10,(DATE(Jahr,10,1)-WEEKDAY(DATE(Jahr,10,1),2)+1)+25,"")</f>
        <v>46682</v>
      </c>
      <c r="P27" s="28">
        <f>IF(MONTH((DATE(Jahr,10,1)-WEEKDAY(DATE(Jahr,10,1),2)+1)+26)=10,(DATE(Jahr,10,1)-WEEKDAY(DATE(Jahr,10,1),2)+1)+26,"")</f>
        <v>46683</v>
      </c>
      <c r="Q27" s="28">
        <f>IF(MONTH((DATE(Jahr,10,1)-WEEKDAY(DATE(Jahr,10,1),2)+1)+27)=10,(DATE(Jahr,10,1)-WEEKDAY(DATE(Jahr,10,1),2)+1)+27,"")</f>
        <v>46684</v>
      </c>
      <c r="S27" s="26">
        <f>IF(OR(MONTH((DATE(Jahr,11,1)-WEEKDAY(DATE(Jahr,11,1),2)+1)+21)=11,MONTH((DATE(Jahr,11,1)-WEEKDAY(DATE(Jahr,11,1),2)+1)+21+6)=11),_xlfn.ISOWEEKNUM((DATE(Jahr,11,1)-WEEKDAY(DATE(Jahr,11,1),2)+1)+21),"")</f>
        <v>47</v>
      </c>
      <c r="T27" s="27">
        <f>IF(MONTH((DATE(Jahr,11,1)-WEEKDAY(DATE(Jahr,11,1),2)+1)+21)=11,(DATE(Jahr,11,1)-WEEKDAY(DATE(Jahr,11,1),2)+1)+21,"")</f>
        <v>46713</v>
      </c>
      <c r="U27" s="27">
        <f>IF(MONTH((DATE(Jahr,11,1)-WEEKDAY(DATE(Jahr,11,1),2)+1)+22)=11,(DATE(Jahr,11,1)-WEEKDAY(DATE(Jahr,11,1),2)+1)+22,"")</f>
        <v>46714</v>
      </c>
      <c r="V27" s="27">
        <f>IF(MONTH((DATE(Jahr,11,1)-WEEKDAY(DATE(Jahr,11,1),2)+1)+23)=11,(DATE(Jahr,11,1)-WEEKDAY(DATE(Jahr,11,1),2)+1)+23,"")</f>
        <v>46715</v>
      </c>
      <c r="W27" s="27">
        <f>IF(MONTH((DATE(Jahr,11,1)-WEEKDAY(DATE(Jahr,11,1),2)+1)+24)=11,(DATE(Jahr,11,1)-WEEKDAY(DATE(Jahr,11,1),2)+1)+24,"")</f>
        <v>46716</v>
      </c>
      <c r="X27" s="27">
        <f>IF(MONTH((DATE(Jahr,11,1)-WEEKDAY(DATE(Jahr,11,1),2)+1)+25)=11,(DATE(Jahr,11,1)-WEEKDAY(DATE(Jahr,11,1),2)+1)+25,"")</f>
        <v>46717</v>
      </c>
      <c r="Y27" s="28">
        <f>IF(MONTH((DATE(Jahr,11,1)-WEEKDAY(DATE(Jahr,11,1),2)+1)+26)=11,(DATE(Jahr,11,1)-WEEKDAY(DATE(Jahr,11,1),2)+1)+26,"")</f>
        <v>46718</v>
      </c>
      <c r="Z27" s="28">
        <f>IF(MONTH((DATE(Jahr,11,1)-WEEKDAY(DATE(Jahr,11,1),2)+1)+27)=11,(DATE(Jahr,11,1)-WEEKDAY(DATE(Jahr,11,1),2)+1)+27,"")</f>
        <v>46719</v>
      </c>
      <c r="AB27" s="26">
        <f>IF(OR(MONTH((DATE(Jahr,12,1)-WEEKDAY(DATE(Jahr,12,1),2)+1)+21)=12,MONTH((DATE(Jahr,12,1)-WEEKDAY(DATE(Jahr,12,1),2)+1)+21+6)=12),_xlfn.ISOWEEKNUM((DATE(Jahr,12,1)-WEEKDAY(DATE(Jahr,12,1),2)+1)+21),"")</f>
        <v>51</v>
      </c>
      <c r="AC27" s="27">
        <f>IF(MONTH((DATE(Jahr,12,1)-WEEKDAY(DATE(Jahr,12,1),2)+1)+21)=12,(DATE(Jahr,12,1)-WEEKDAY(DATE(Jahr,12,1),2)+1)+21,"")</f>
        <v>46741</v>
      </c>
      <c r="AD27" s="27">
        <f>IF(MONTH((DATE(Jahr,12,1)-WEEKDAY(DATE(Jahr,12,1),2)+1)+22)=12,(DATE(Jahr,12,1)-WEEKDAY(DATE(Jahr,12,1),2)+1)+22,"")</f>
        <v>46742</v>
      </c>
      <c r="AE27" s="27">
        <f>IF(MONTH((DATE(Jahr,12,1)-WEEKDAY(DATE(Jahr,12,1),2)+1)+23)=12,(DATE(Jahr,12,1)-WEEKDAY(DATE(Jahr,12,1),2)+1)+23,"")</f>
        <v>46743</v>
      </c>
      <c r="AF27" s="27">
        <f>IF(MONTH((DATE(Jahr,12,1)-WEEKDAY(DATE(Jahr,12,1),2)+1)+24)=12,(DATE(Jahr,12,1)-WEEKDAY(DATE(Jahr,12,1),2)+1)+24,"")</f>
        <v>46744</v>
      </c>
      <c r="AG27" s="27">
        <f>IF(MONTH((DATE(Jahr,12,1)-WEEKDAY(DATE(Jahr,12,1),2)+1)+25)=12,(DATE(Jahr,12,1)-WEEKDAY(DATE(Jahr,12,1),2)+1)+25,"")</f>
        <v>46745</v>
      </c>
      <c r="AH27" s="28">
        <f>IF(MONTH((DATE(Jahr,12,1)-WEEKDAY(DATE(Jahr,12,1),2)+1)+26)=12,(DATE(Jahr,12,1)-WEEKDAY(DATE(Jahr,12,1),2)+1)+26,"")</f>
        <v>46746</v>
      </c>
      <c r="AI27" s="28">
        <f>IF(MONTH((DATE(Jahr,12,1)-WEEKDAY(DATE(Jahr,12,1),2)+1)+27)=12,(DATE(Jahr,12,1)-WEEKDAY(DATE(Jahr,12,1),2)+1)+27,"")</f>
        <v>46747</v>
      </c>
    </row>
    <row r="28" spans="1:35" ht="16.5" customHeight="1" x14ac:dyDescent="0.25">
      <c r="A28" s="26">
        <f>IF(OR(MONTH((DATE(Jahr,9,1)-WEEKDAY(DATE(Jahr,9,1),2)+1)+28)=9,MONTH((DATE(Jahr,9,1)-WEEKDAY(DATE(Jahr,9,1),2)+1)+28+6)=9),_xlfn.ISOWEEKNUM((DATE(Jahr,9,1)-WEEKDAY(DATE(Jahr,9,1),2)+1)+28),"")</f>
        <v>39</v>
      </c>
      <c r="B28" s="27">
        <f>IF(MONTH((DATE(Jahr,9,1)-WEEKDAY(DATE(Jahr,9,1),2)+1)+28)=9,(DATE(Jahr,9,1)-WEEKDAY(DATE(Jahr,9,1),2)+1)+28,"")</f>
        <v>46657</v>
      </c>
      <c r="C28" s="27">
        <f>IF(MONTH((DATE(Jahr,9,1)-WEEKDAY(DATE(Jahr,9,1),2)+1)+29)=9,(DATE(Jahr,9,1)-WEEKDAY(DATE(Jahr,9,1),2)+1)+29,"")</f>
        <v>46658</v>
      </c>
      <c r="D28" s="27">
        <f>IF(MONTH((DATE(Jahr,9,1)-WEEKDAY(DATE(Jahr,9,1),2)+1)+30)=9,(DATE(Jahr,9,1)-WEEKDAY(DATE(Jahr,9,1),2)+1)+30,"")</f>
        <v>46659</v>
      </c>
      <c r="E28" s="27">
        <f>IF(MONTH((DATE(Jahr,9,1)-WEEKDAY(DATE(Jahr,9,1),2)+1)+31)=9,(DATE(Jahr,9,1)-WEEKDAY(DATE(Jahr,9,1),2)+1)+31,"")</f>
        <v>46660</v>
      </c>
      <c r="F28" s="27" t="str">
        <f>IF(MONTH((DATE(Jahr,9,1)-WEEKDAY(DATE(Jahr,9,1),2)+1)+32)=9,(DATE(Jahr,9,1)-WEEKDAY(DATE(Jahr,9,1),2)+1)+32,"")</f>
        <v/>
      </c>
      <c r="G28" s="28" t="str">
        <f>IF(MONTH((DATE(Jahr,9,1)-WEEKDAY(DATE(Jahr,9,1),2)+1)+33)=9,(DATE(Jahr,9,1)-WEEKDAY(DATE(Jahr,9,1),2)+1)+33,"")</f>
        <v/>
      </c>
      <c r="H28" s="28" t="str">
        <f>IF(MONTH((DATE(Jahr,9,1)-WEEKDAY(DATE(Jahr,9,1),2)+1)+34)=9,(DATE(Jahr,9,1)-WEEKDAY(DATE(Jahr,9,1),2)+1)+34,"")</f>
        <v/>
      </c>
      <c r="J28" s="26">
        <f>IF(OR(MONTH((DATE(Jahr,10,1)-WEEKDAY(DATE(Jahr,10,1),2)+1)+28)=10,MONTH((DATE(Jahr,10,1)-WEEKDAY(DATE(Jahr,10,1),2)+1)+28+6)=10),_xlfn.ISOWEEKNUM((DATE(Jahr,10,1)-WEEKDAY(DATE(Jahr,10,1),2)+1)+28),"")</f>
        <v>43</v>
      </c>
      <c r="K28" s="27">
        <f>IF(MONTH((DATE(Jahr,10,1)-WEEKDAY(DATE(Jahr,10,1),2)+1)+28)=10,(DATE(Jahr,10,1)-WEEKDAY(DATE(Jahr,10,1),2)+1)+28,"")</f>
        <v>46685</v>
      </c>
      <c r="L28" s="27">
        <f>IF(MONTH((DATE(Jahr,10,1)-WEEKDAY(DATE(Jahr,10,1),2)+1)+29)=10,(DATE(Jahr,10,1)-WEEKDAY(DATE(Jahr,10,1),2)+1)+29,"")</f>
        <v>46686</v>
      </c>
      <c r="M28" s="27">
        <f>IF(MONTH((DATE(Jahr,10,1)-WEEKDAY(DATE(Jahr,10,1),2)+1)+30)=10,(DATE(Jahr,10,1)-WEEKDAY(DATE(Jahr,10,1),2)+1)+30,"")</f>
        <v>46687</v>
      </c>
      <c r="N28" s="27">
        <f>IF(MONTH((DATE(Jahr,10,1)-WEEKDAY(DATE(Jahr,10,1),2)+1)+31)=10,(DATE(Jahr,10,1)-WEEKDAY(DATE(Jahr,10,1),2)+1)+31,"")</f>
        <v>46688</v>
      </c>
      <c r="O28" s="27">
        <f>IF(MONTH((DATE(Jahr,10,1)-WEEKDAY(DATE(Jahr,10,1),2)+1)+32)=10,(DATE(Jahr,10,1)-WEEKDAY(DATE(Jahr,10,1),2)+1)+32,"")</f>
        <v>46689</v>
      </c>
      <c r="P28" s="28">
        <f>IF(MONTH((DATE(Jahr,10,1)-WEEKDAY(DATE(Jahr,10,1),2)+1)+33)=10,(DATE(Jahr,10,1)-WEEKDAY(DATE(Jahr,10,1),2)+1)+33,"")</f>
        <v>46690</v>
      </c>
      <c r="Q28" s="28">
        <f>IF(MONTH((DATE(Jahr,10,1)-WEEKDAY(DATE(Jahr,10,1),2)+1)+34)=10,(DATE(Jahr,10,1)-WEEKDAY(DATE(Jahr,10,1),2)+1)+34,"")</f>
        <v>46691</v>
      </c>
      <c r="S28" s="26">
        <f>IF(OR(MONTH((DATE(Jahr,11,1)-WEEKDAY(DATE(Jahr,11,1),2)+1)+28)=11,MONTH((DATE(Jahr,11,1)-WEEKDAY(DATE(Jahr,11,1),2)+1)+28+6)=11),_xlfn.ISOWEEKNUM((DATE(Jahr,11,1)-WEEKDAY(DATE(Jahr,11,1),2)+1)+28),"")</f>
        <v>48</v>
      </c>
      <c r="T28" s="27">
        <f>IF(MONTH((DATE(Jahr,11,1)-WEEKDAY(DATE(Jahr,11,1),2)+1)+28)=11,(DATE(Jahr,11,1)-WEEKDAY(DATE(Jahr,11,1),2)+1)+28,"")</f>
        <v>46720</v>
      </c>
      <c r="U28" s="27">
        <f>IF(MONTH((DATE(Jahr,11,1)-WEEKDAY(DATE(Jahr,11,1),2)+1)+29)=11,(DATE(Jahr,11,1)-WEEKDAY(DATE(Jahr,11,1),2)+1)+29,"")</f>
        <v>46721</v>
      </c>
      <c r="V28" s="27" t="str">
        <f>IF(MONTH((DATE(Jahr,11,1)-WEEKDAY(DATE(Jahr,11,1),2)+1)+30)=11,(DATE(Jahr,11,1)-WEEKDAY(DATE(Jahr,11,1),2)+1)+30,"")</f>
        <v/>
      </c>
      <c r="W28" s="27" t="str">
        <f>IF(MONTH((DATE(Jahr,11,1)-WEEKDAY(DATE(Jahr,11,1),2)+1)+31)=11,(DATE(Jahr,11,1)-WEEKDAY(DATE(Jahr,11,1),2)+1)+31,"")</f>
        <v/>
      </c>
      <c r="X28" s="27" t="str">
        <f>IF(MONTH((DATE(Jahr,11,1)-WEEKDAY(DATE(Jahr,11,1),2)+1)+32)=11,(DATE(Jahr,11,1)-WEEKDAY(DATE(Jahr,11,1),2)+1)+32,"")</f>
        <v/>
      </c>
      <c r="Y28" s="28" t="str">
        <f>IF(MONTH((DATE(Jahr,11,1)-WEEKDAY(DATE(Jahr,11,1),2)+1)+33)=11,(DATE(Jahr,11,1)-WEEKDAY(DATE(Jahr,11,1),2)+1)+33,"")</f>
        <v/>
      </c>
      <c r="Z28" s="28" t="str">
        <f>IF(MONTH((DATE(Jahr,11,1)-WEEKDAY(DATE(Jahr,11,1),2)+1)+34)=11,(DATE(Jahr,11,1)-WEEKDAY(DATE(Jahr,11,1),2)+1)+34,"")</f>
        <v/>
      </c>
      <c r="AB28" s="26">
        <f>IF(OR(MONTH((DATE(Jahr,12,1)-WEEKDAY(DATE(Jahr,12,1),2)+1)+28)=12,MONTH((DATE(Jahr,12,1)-WEEKDAY(DATE(Jahr,12,1),2)+1)+28+6)=12),_xlfn.ISOWEEKNUM((DATE(Jahr,12,1)-WEEKDAY(DATE(Jahr,12,1),2)+1)+28),"")</f>
        <v>52</v>
      </c>
      <c r="AC28" s="27">
        <f>IF(MONTH((DATE(Jahr,12,1)-WEEKDAY(DATE(Jahr,12,1),2)+1)+28)=12,(DATE(Jahr,12,1)-WEEKDAY(DATE(Jahr,12,1),2)+1)+28,"")</f>
        <v>46748</v>
      </c>
      <c r="AD28" s="27">
        <f>IF(MONTH((DATE(Jahr,12,1)-WEEKDAY(DATE(Jahr,12,1),2)+1)+29)=12,(DATE(Jahr,12,1)-WEEKDAY(DATE(Jahr,12,1),2)+1)+29,"")</f>
        <v>46749</v>
      </c>
      <c r="AE28" s="27">
        <f>IF(MONTH((DATE(Jahr,12,1)-WEEKDAY(DATE(Jahr,12,1),2)+1)+30)=12,(DATE(Jahr,12,1)-WEEKDAY(DATE(Jahr,12,1),2)+1)+30,"")</f>
        <v>46750</v>
      </c>
      <c r="AF28" s="27">
        <f>IF(MONTH((DATE(Jahr,12,1)-WEEKDAY(DATE(Jahr,12,1),2)+1)+31)=12,(DATE(Jahr,12,1)-WEEKDAY(DATE(Jahr,12,1),2)+1)+31,"")</f>
        <v>46751</v>
      </c>
      <c r="AG28" s="27">
        <f>IF(MONTH((DATE(Jahr,12,1)-WEEKDAY(DATE(Jahr,12,1),2)+1)+32)=12,(DATE(Jahr,12,1)-WEEKDAY(DATE(Jahr,12,1),2)+1)+32,"")</f>
        <v>46752</v>
      </c>
      <c r="AH28" s="28" t="str">
        <f>IF(MONTH((DATE(Jahr,12,1)-WEEKDAY(DATE(Jahr,12,1),2)+1)+33)=12,(DATE(Jahr,12,1)-WEEKDAY(DATE(Jahr,12,1),2)+1)+33,"")</f>
        <v/>
      </c>
      <c r="AI28" s="28" t="str">
        <f>IF(MONTH((DATE(Jahr,12,1)-WEEKDAY(DATE(Jahr,12,1),2)+1)+34)=12,(DATE(Jahr,12,1)-WEEKDAY(DATE(Jahr,12,1),2)+1)+34,"")</f>
        <v/>
      </c>
    </row>
    <row r="29" spans="1:35" ht="16.5" customHeight="1" x14ac:dyDescent="0.25">
      <c r="A29" s="26" t="str">
        <f>IF(OR(MONTH((DATE(Jahr,9,1)-WEEKDAY(DATE(Jahr,9,1),2)+1)+35)=9,MONTH((DATE(Jahr,9,1)-WEEKDAY(DATE(Jahr,9,1),2)+1)+35+6)=9),_xlfn.ISOWEEKNUM((DATE(Jahr,9,1)-WEEKDAY(DATE(Jahr,9,1),2)+1)+35),"")</f>
        <v/>
      </c>
      <c r="B29" s="27" t="str">
        <f>IF(MONTH((DATE(Jahr,9,1)-WEEKDAY(DATE(Jahr,9,1),2)+1)+35)=9,(DATE(Jahr,9,1)-WEEKDAY(DATE(Jahr,9,1),2)+1)+35,"")</f>
        <v/>
      </c>
      <c r="C29" s="27" t="str">
        <f>IF(MONTH((DATE(Jahr,9,1)-WEEKDAY(DATE(Jahr,9,1),2)+1)+36)=9,(DATE(Jahr,9,1)-WEEKDAY(DATE(Jahr,9,1),2)+1)+36,"")</f>
        <v/>
      </c>
      <c r="D29" s="27" t="str">
        <f>IF(MONTH((DATE(Jahr,9,1)-WEEKDAY(DATE(Jahr,9,1),2)+1)+37)=9,(DATE(Jahr,9,1)-WEEKDAY(DATE(Jahr,9,1),2)+1)+37,"")</f>
        <v/>
      </c>
      <c r="E29" s="27" t="str">
        <f>IF(MONTH((DATE(Jahr,9,1)-WEEKDAY(DATE(Jahr,9,1),2)+1)+38)=9,(DATE(Jahr,9,1)-WEEKDAY(DATE(Jahr,9,1),2)+1)+38,"")</f>
        <v/>
      </c>
      <c r="F29" s="27" t="str">
        <f>IF(MONTH((DATE(Jahr,9,1)-WEEKDAY(DATE(Jahr,9,1),2)+1)+39)=9,(DATE(Jahr,9,1)-WEEKDAY(DATE(Jahr,9,1),2)+1)+39,"")</f>
        <v/>
      </c>
      <c r="G29" s="28" t="str">
        <f>IF(MONTH((DATE(Jahr,9,1)-WEEKDAY(DATE(Jahr,9,1),2)+1)+40)=9,(DATE(Jahr,9,1)-WEEKDAY(DATE(Jahr,9,1),2)+1)+40,"")</f>
        <v/>
      </c>
      <c r="H29" s="28" t="str">
        <f>IF(MONTH((DATE(Jahr,9,1)-WEEKDAY(DATE(Jahr,9,1),2)+1)+41)=9,(DATE(Jahr,9,1)-WEEKDAY(DATE(Jahr,9,1),2)+1)+41,"")</f>
        <v/>
      </c>
      <c r="J29" s="26" t="str">
        <f>IF(OR(MONTH((DATE(Jahr,10,1)-WEEKDAY(DATE(Jahr,10,1),2)+1)+35)=10,MONTH((DATE(Jahr,10,1)-WEEKDAY(DATE(Jahr,10,1),2)+1)+35+6)=10),_xlfn.ISOWEEKNUM((DATE(Jahr,10,1)-WEEKDAY(DATE(Jahr,10,1),2)+1)+35),"")</f>
        <v/>
      </c>
      <c r="K29" s="27" t="str">
        <f>IF(MONTH((DATE(Jahr,10,1)-WEEKDAY(DATE(Jahr,10,1),2)+1)+35)=10,(DATE(Jahr,10,1)-WEEKDAY(DATE(Jahr,10,1),2)+1)+35,"")</f>
        <v/>
      </c>
      <c r="L29" s="27" t="str">
        <f>IF(MONTH((DATE(Jahr,10,1)-WEEKDAY(DATE(Jahr,10,1),2)+1)+36)=10,(DATE(Jahr,10,1)-WEEKDAY(DATE(Jahr,10,1),2)+1)+36,"")</f>
        <v/>
      </c>
      <c r="M29" s="27" t="str">
        <f>IF(MONTH((DATE(Jahr,10,1)-WEEKDAY(DATE(Jahr,10,1),2)+1)+37)=10,(DATE(Jahr,10,1)-WEEKDAY(DATE(Jahr,10,1),2)+1)+37,"")</f>
        <v/>
      </c>
      <c r="N29" s="27" t="str">
        <f>IF(MONTH((DATE(Jahr,10,1)-WEEKDAY(DATE(Jahr,10,1),2)+1)+38)=10,(DATE(Jahr,10,1)-WEEKDAY(DATE(Jahr,10,1),2)+1)+38,"")</f>
        <v/>
      </c>
      <c r="O29" s="27" t="str">
        <f>IF(MONTH((DATE(Jahr,10,1)-WEEKDAY(DATE(Jahr,10,1),2)+1)+39)=10,(DATE(Jahr,10,1)-WEEKDAY(DATE(Jahr,10,1),2)+1)+39,"")</f>
        <v/>
      </c>
      <c r="P29" s="28" t="str">
        <f>IF(MONTH((DATE(Jahr,10,1)-WEEKDAY(DATE(Jahr,10,1),2)+1)+40)=10,(DATE(Jahr,10,1)-WEEKDAY(DATE(Jahr,10,1),2)+1)+40,"")</f>
        <v/>
      </c>
      <c r="Q29" s="28" t="str">
        <f>IF(MONTH((DATE(Jahr,10,1)-WEEKDAY(DATE(Jahr,10,1),2)+1)+41)=10,(DATE(Jahr,10,1)-WEEKDAY(DATE(Jahr,10,1),2)+1)+41,"")</f>
        <v/>
      </c>
      <c r="S29" s="26" t="str">
        <f>IF(OR(MONTH((DATE(Jahr,11,1)-WEEKDAY(DATE(Jahr,11,1),2)+1)+35)=11,MONTH((DATE(Jahr,11,1)-WEEKDAY(DATE(Jahr,11,1),2)+1)+35+6)=11),_xlfn.ISOWEEKNUM((DATE(Jahr,11,1)-WEEKDAY(DATE(Jahr,11,1),2)+1)+35),"")</f>
        <v/>
      </c>
      <c r="T29" s="27" t="str">
        <f>IF(MONTH((DATE(Jahr,11,1)-WEEKDAY(DATE(Jahr,11,1),2)+1)+35)=11,(DATE(Jahr,11,1)-WEEKDAY(DATE(Jahr,11,1),2)+1)+35,"")</f>
        <v/>
      </c>
      <c r="U29" s="27" t="str">
        <f>IF(MONTH((DATE(Jahr,11,1)-WEEKDAY(DATE(Jahr,11,1),2)+1)+36)=11,(DATE(Jahr,11,1)-WEEKDAY(DATE(Jahr,11,1),2)+1)+36,"")</f>
        <v/>
      </c>
      <c r="V29" s="27" t="str">
        <f>IF(MONTH((DATE(Jahr,11,1)-WEEKDAY(DATE(Jahr,11,1),2)+1)+37)=11,(DATE(Jahr,11,1)-WEEKDAY(DATE(Jahr,11,1),2)+1)+37,"")</f>
        <v/>
      </c>
      <c r="W29" s="27" t="str">
        <f>IF(MONTH((DATE(Jahr,11,1)-WEEKDAY(DATE(Jahr,11,1),2)+1)+38)=11,(DATE(Jahr,11,1)-WEEKDAY(DATE(Jahr,11,1),2)+1)+38,"")</f>
        <v/>
      </c>
      <c r="X29" s="27" t="str">
        <f>IF(MONTH((DATE(Jahr,11,1)-WEEKDAY(DATE(Jahr,11,1),2)+1)+39)=11,(DATE(Jahr,11,1)-WEEKDAY(DATE(Jahr,11,1),2)+1)+39,"")</f>
        <v/>
      </c>
      <c r="Y29" s="28" t="str">
        <f>IF(MONTH((DATE(Jahr,11,1)-WEEKDAY(DATE(Jahr,11,1),2)+1)+40)=11,(DATE(Jahr,11,1)-WEEKDAY(DATE(Jahr,11,1),2)+1)+40,"")</f>
        <v/>
      </c>
      <c r="Z29" s="28" t="str">
        <f>IF(MONTH((DATE(Jahr,11,1)-WEEKDAY(DATE(Jahr,11,1),2)+1)+41)=11,(DATE(Jahr,11,1)-WEEKDAY(DATE(Jahr,11,1),2)+1)+41,"")</f>
        <v/>
      </c>
      <c r="AB29" s="26" t="str">
        <f>IF(OR(MONTH((DATE(Jahr,12,1)-WEEKDAY(DATE(Jahr,12,1),2)+1)+35)=12,MONTH((DATE(Jahr,12,1)-WEEKDAY(DATE(Jahr,12,1),2)+1)+35+6)=12),_xlfn.ISOWEEKNUM((DATE(Jahr,12,1)-WEEKDAY(DATE(Jahr,12,1),2)+1)+35),"")</f>
        <v/>
      </c>
      <c r="AC29" s="27" t="str">
        <f>IF(MONTH((DATE(Jahr,12,1)-WEEKDAY(DATE(Jahr,12,1),2)+1)+35)=12,(DATE(Jahr,12,1)-WEEKDAY(DATE(Jahr,12,1),2)+1)+35,"")</f>
        <v/>
      </c>
      <c r="AD29" s="27" t="str">
        <f>IF(MONTH((DATE(Jahr,12,1)-WEEKDAY(DATE(Jahr,12,1),2)+1)+36)=12,(DATE(Jahr,12,1)-WEEKDAY(DATE(Jahr,12,1),2)+1)+36,"")</f>
        <v/>
      </c>
      <c r="AE29" s="27" t="str">
        <f>IF(MONTH((DATE(Jahr,12,1)-WEEKDAY(DATE(Jahr,12,1),2)+1)+37)=12,(DATE(Jahr,12,1)-WEEKDAY(DATE(Jahr,12,1),2)+1)+37,"")</f>
        <v/>
      </c>
      <c r="AF29" s="27" t="str">
        <f>IF(MONTH((DATE(Jahr,12,1)-WEEKDAY(DATE(Jahr,12,1),2)+1)+38)=12,(DATE(Jahr,12,1)-WEEKDAY(DATE(Jahr,12,1),2)+1)+38,"")</f>
        <v/>
      </c>
      <c r="AG29" s="27" t="str">
        <f>IF(MONTH((DATE(Jahr,12,1)-WEEKDAY(DATE(Jahr,12,1),2)+1)+39)=12,(DATE(Jahr,12,1)-WEEKDAY(DATE(Jahr,12,1),2)+1)+39,"")</f>
        <v/>
      </c>
      <c r="AH29" s="28" t="str">
        <f>IF(MONTH((DATE(Jahr,12,1)-WEEKDAY(DATE(Jahr,12,1),2)+1)+40)=12,(DATE(Jahr,12,1)-WEEKDAY(DATE(Jahr,12,1),2)+1)+40,"")</f>
        <v/>
      </c>
      <c r="AI29" s="28" t="str">
        <f>IF(MONTH((DATE(Jahr,12,1)-WEEKDAY(DATE(Jahr,12,1),2)+1)+41)=12,(DATE(Jahr,12,1)-WEEKDAY(DATE(Jahr,12,1),2)+1)+41,"")</f>
        <v/>
      </c>
    </row>
    <row r="30" spans="1:35" ht="9" customHeight="1" x14ac:dyDescent="0.25"/>
    <row r="31" spans="1:35" ht="18" customHeight="1" x14ac:dyDescent="0.25">
      <c r="A31" s="4" t="str">
        <f>"Feiertage "&amp;Jahr&amp;" in "&amp;Bundesland</f>
        <v>Feiertage 2027 in Nordrhein-Westfalen</v>
      </c>
      <c r="S31" s="29" t="str">
        <f>IF(COUNTIF(Feiertage_aktiv,"&gt;0")&gt;20,"Weitere freie Tage stehen im Blatt Feiertage.","")</f>
        <v/>
      </c>
    </row>
    <row r="32" spans="1:35" ht="14.1" customHeight="1" x14ac:dyDescent="0.25">
      <c r="A32" s="74">
        <f>IFERROR(SMALL(Feiertage_aktiv,COUNTIF(Feiertage_aktiv,0)+1),"")</f>
        <v>46388</v>
      </c>
      <c r="B32" s="75"/>
      <c r="C32" s="75"/>
      <c r="D32" s="30" t="str">
        <f>IF(A32="","",INDEX(FT_Name,MATCH(A32,Feiertage_aktiv,0)))</f>
        <v>Neujahr</v>
      </c>
      <c r="J32" s="74">
        <f>IFERROR(SMALL(Feiertage_aktiv,COUNTIF(Feiertage_aktiv,0)+6),"")</f>
        <v>46524</v>
      </c>
      <c r="K32" s="75"/>
      <c r="L32" s="75"/>
      <c r="M32" s="30" t="str">
        <f>IF(J32="","",INDEX(FT_Name,MATCH(J32,Feiertage_aktiv,0)))</f>
        <v>Pfingstmontag</v>
      </c>
      <c r="S32" s="74">
        <f>IFERROR(SMALL(Feiertage_aktiv,COUNTIF(Feiertage_aktiv,0)+11),"")</f>
        <v>46747</v>
      </c>
      <c r="T32" s="75"/>
      <c r="U32" s="75"/>
      <c r="V32" s="30" t="str">
        <f>IF(S32="","",INDEX(FT_Name,MATCH(S32,Feiertage_aktiv,0)))</f>
        <v>2. Weihnachtstag</v>
      </c>
      <c r="AB32" s="74" t="str">
        <f>IFERROR(SMALL(Feiertage_aktiv,COUNTIF(Feiertage_aktiv,0)+16),"")</f>
        <v/>
      </c>
      <c r="AC32" s="75"/>
      <c r="AD32" s="75"/>
      <c r="AE32" s="30" t="str">
        <f>IF(AB32="","",INDEX(FT_Name,MATCH(AB32,Feiertage_aktiv,0)))</f>
        <v/>
      </c>
    </row>
    <row r="33" spans="1:31" ht="14.1" customHeight="1" x14ac:dyDescent="0.25">
      <c r="A33" s="74">
        <f>IFERROR(SMALL(Feiertage_aktiv,COUNTIF(Feiertage_aktiv,0)+2),"")</f>
        <v>46472</v>
      </c>
      <c r="B33" s="75"/>
      <c r="C33" s="75"/>
      <c r="D33" s="30" t="str">
        <f>IF(A33="","",INDEX(FT_Name,MATCH(A33,Feiertage_aktiv,0)))</f>
        <v>Karfreitag</v>
      </c>
      <c r="J33" s="74">
        <f>IFERROR(SMALL(Feiertage_aktiv,COUNTIF(Feiertage_aktiv,0)+7),"")</f>
        <v>46534</v>
      </c>
      <c r="K33" s="75"/>
      <c r="L33" s="75"/>
      <c r="M33" s="30" t="str">
        <f>IF(J33="","",INDEX(FT_Name,MATCH(J33,Feiertage_aktiv,0)))</f>
        <v>Fronleichnam</v>
      </c>
      <c r="S33" s="74" t="str">
        <f>IFERROR(SMALL(Feiertage_aktiv,COUNTIF(Feiertage_aktiv,0)+12),"")</f>
        <v/>
      </c>
      <c r="T33" s="75"/>
      <c r="U33" s="75"/>
      <c r="V33" s="30" t="str">
        <f>IF(S33="","",INDEX(FT_Name,MATCH(S33,Feiertage_aktiv,0)))</f>
        <v/>
      </c>
      <c r="AB33" s="74" t="str">
        <f>IFERROR(SMALL(Feiertage_aktiv,COUNTIF(Feiertage_aktiv,0)+17),"")</f>
        <v/>
      </c>
      <c r="AC33" s="75"/>
      <c r="AD33" s="75"/>
      <c r="AE33" s="30" t="str">
        <f>IF(AB33="","",INDEX(FT_Name,MATCH(AB33,Feiertage_aktiv,0)))</f>
        <v/>
      </c>
    </row>
    <row r="34" spans="1:31" ht="14.1" customHeight="1" x14ac:dyDescent="0.25">
      <c r="A34" s="74">
        <f>IFERROR(SMALL(Feiertage_aktiv,COUNTIF(Feiertage_aktiv,0)+3),"")</f>
        <v>46475</v>
      </c>
      <c r="B34" s="75"/>
      <c r="C34" s="75"/>
      <c r="D34" s="30" t="str">
        <f>IF(A34="","",INDEX(FT_Name,MATCH(A34,Feiertage_aktiv,0)))</f>
        <v>Ostermontag</v>
      </c>
      <c r="J34" s="74">
        <f>IFERROR(SMALL(Feiertage_aktiv,COUNTIF(Feiertage_aktiv,0)+8),"")</f>
        <v>46663</v>
      </c>
      <c r="K34" s="75"/>
      <c r="L34" s="75"/>
      <c r="M34" s="30" t="str">
        <f>IF(J34="","",INDEX(FT_Name,MATCH(J34,Feiertage_aktiv,0)))</f>
        <v>Tag der Deutschen Einheit</v>
      </c>
      <c r="S34" s="74" t="str">
        <f>IFERROR(SMALL(Feiertage_aktiv,COUNTIF(Feiertage_aktiv,0)+13),"")</f>
        <v/>
      </c>
      <c r="T34" s="75"/>
      <c r="U34" s="75"/>
      <c r="V34" s="30" t="str">
        <f>IF(S34="","",INDEX(FT_Name,MATCH(S34,Feiertage_aktiv,0)))</f>
        <v/>
      </c>
      <c r="AB34" s="74" t="str">
        <f>IFERROR(SMALL(Feiertage_aktiv,COUNTIF(Feiertage_aktiv,0)+18),"")</f>
        <v/>
      </c>
      <c r="AC34" s="75"/>
      <c r="AD34" s="75"/>
      <c r="AE34" s="30" t="str">
        <f>IF(AB34="","",INDEX(FT_Name,MATCH(AB34,Feiertage_aktiv,0)))</f>
        <v/>
      </c>
    </row>
    <row r="35" spans="1:31" ht="14.1" customHeight="1" x14ac:dyDescent="0.25">
      <c r="A35" s="74">
        <f>IFERROR(SMALL(Feiertage_aktiv,COUNTIF(Feiertage_aktiv,0)+4),"")</f>
        <v>46508</v>
      </c>
      <c r="B35" s="75"/>
      <c r="C35" s="75"/>
      <c r="D35" s="30" t="str">
        <f>IF(A35="","",INDEX(FT_Name,MATCH(A35,Feiertage_aktiv,0)))</f>
        <v>Tag der Arbeit</v>
      </c>
      <c r="J35" s="74">
        <f>IFERROR(SMALL(Feiertage_aktiv,COUNTIF(Feiertage_aktiv,0)+9),"")</f>
        <v>46692</v>
      </c>
      <c r="K35" s="75"/>
      <c r="L35" s="75"/>
      <c r="M35" s="30" t="str">
        <f>IF(J35="","",INDEX(FT_Name,MATCH(J35,Feiertage_aktiv,0)))</f>
        <v>Allerheiligen</v>
      </c>
      <c r="S35" s="74" t="str">
        <f>IFERROR(SMALL(Feiertage_aktiv,COUNTIF(Feiertage_aktiv,0)+14),"")</f>
        <v/>
      </c>
      <c r="T35" s="75"/>
      <c r="U35" s="75"/>
      <c r="V35" s="30" t="str">
        <f>IF(S35="","",INDEX(FT_Name,MATCH(S35,Feiertage_aktiv,0)))</f>
        <v/>
      </c>
      <c r="AB35" s="74" t="str">
        <f>IFERROR(SMALL(Feiertage_aktiv,COUNTIF(Feiertage_aktiv,0)+19),"")</f>
        <v/>
      </c>
      <c r="AC35" s="75"/>
      <c r="AD35" s="75"/>
      <c r="AE35" s="30" t="str">
        <f>IF(AB35="","",INDEX(FT_Name,MATCH(AB35,Feiertage_aktiv,0)))</f>
        <v/>
      </c>
    </row>
    <row r="36" spans="1:31" ht="14.1" customHeight="1" x14ac:dyDescent="0.25">
      <c r="A36" s="74">
        <f>IFERROR(SMALL(Feiertage_aktiv,COUNTIF(Feiertage_aktiv,0)+5),"")</f>
        <v>46513</v>
      </c>
      <c r="B36" s="75"/>
      <c r="C36" s="75"/>
      <c r="D36" s="30" t="str">
        <f>IF(A36="","",INDEX(FT_Name,MATCH(A36,Feiertage_aktiv,0)))</f>
        <v>Christi Himmelfahrt</v>
      </c>
      <c r="J36" s="74">
        <f>IFERROR(SMALL(Feiertage_aktiv,COUNTIF(Feiertage_aktiv,0)+10),"")</f>
        <v>46746</v>
      </c>
      <c r="K36" s="75"/>
      <c r="L36" s="75"/>
      <c r="M36" s="30" t="str">
        <f>IF(J36="","",INDEX(FT_Name,MATCH(J36,Feiertage_aktiv,0)))</f>
        <v>1. Weihnachtstag</v>
      </c>
      <c r="S36" s="74" t="str">
        <f>IFERROR(SMALL(Feiertage_aktiv,COUNTIF(Feiertage_aktiv,0)+15),"")</f>
        <v/>
      </c>
      <c r="T36" s="75"/>
      <c r="U36" s="75"/>
      <c r="V36" s="30" t="str">
        <f>IF(S36="","",INDEX(FT_Name,MATCH(S36,Feiertage_aktiv,0)))</f>
        <v/>
      </c>
      <c r="AB36" s="74" t="str">
        <f>IFERROR(SMALL(Feiertage_aktiv,COUNTIF(Feiertage_aktiv,0)+20),"")</f>
        <v/>
      </c>
      <c r="AC36" s="75"/>
      <c r="AD36" s="75"/>
      <c r="AE36" s="30" t="str">
        <f>IF(AB36="","",INDEX(FT_Name,MATCH(AB36,Feiertage_aktiv,0)))</f>
        <v/>
      </c>
    </row>
    <row r="37" spans="1:31" ht="6" customHeight="1" x14ac:dyDescent="0.25"/>
    <row r="38" spans="1:31" x14ac:dyDescent="0.25">
      <c r="A38" s="31"/>
      <c r="B38" s="32" t="s">
        <v>23</v>
      </c>
      <c r="E38" s="33"/>
      <c r="F38" s="32" t="s">
        <v>24</v>
      </c>
      <c r="J38" s="32" t="s">
        <v>25</v>
      </c>
    </row>
  </sheetData>
  <mergeCells count="24">
    <mergeCell ref="W1:Z1"/>
    <mergeCell ref="A36:C36"/>
    <mergeCell ref="AA1:AI1"/>
    <mergeCell ref="AB32:AD32"/>
    <mergeCell ref="AB35:AD35"/>
    <mergeCell ref="J34:L34"/>
    <mergeCell ref="A33:C33"/>
    <mergeCell ref="J32:L32"/>
    <mergeCell ref="S33:U33"/>
    <mergeCell ref="A32:C32"/>
    <mergeCell ref="S36:U36"/>
    <mergeCell ref="A35:C35"/>
    <mergeCell ref="S35:U35"/>
    <mergeCell ref="J33:L33"/>
    <mergeCell ref="S32:U32"/>
    <mergeCell ref="A34:C34"/>
    <mergeCell ref="J36:L36"/>
    <mergeCell ref="W2:Z2"/>
    <mergeCell ref="J35:L35"/>
    <mergeCell ref="AB36:AD36"/>
    <mergeCell ref="S34:U34"/>
    <mergeCell ref="AA2:AI2"/>
    <mergeCell ref="AB34:AD34"/>
    <mergeCell ref="AB33:AD33"/>
  </mergeCells>
  <conditionalFormatting sqref="B6:H11">
    <cfRule type="expression" dxfId="160" priority="1" stopIfTrue="1">
      <formula>AND(ISNUMBER(B6),COUNTIF(Feiertage_aktiv,B6)&gt;0)</formula>
    </cfRule>
  </conditionalFormatting>
  <conditionalFormatting sqref="B15:H20">
    <cfRule type="expression" dxfId="159" priority="5" stopIfTrue="1">
      <formula>AND(ISNUMBER(B15),COUNTIF(Feiertage_aktiv,B15)&gt;0)</formula>
    </cfRule>
  </conditionalFormatting>
  <conditionalFormatting sqref="B24:H29">
    <cfRule type="expression" dxfId="158" priority="9" stopIfTrue="1">
      <formula>AND(ISNUMBER(B24),COUNTIF(Feiertage_aktiv,B24)&gt;0)</formula>
    </cfRule>
  </conditionalFormatting>
  <conditionalFormatting sqref="K6:Q11">
    <cfRule type="expression" dxfId="157" priority="2" stopIfTrue="1">
      <formula>AND(ISNUMBER(K6),COUNTIF(Feiertage_aktiv,K6)&gt;0)</formula>
    </cfRule>
  </conditionalFormatting>
  <conditionalFormatting sqref="K15:Q20">
    <cfRule type="expression" dxfId="156" priority="6" stopIfTrue="1">
      <formula>AND(ISNUMBER(K15),COUNTIF(Feiertage_aktiv,K15)&gt;0)</formula>
    </cfRule>
  </conditionalFormatting>
  <conditionalFormatting sqref="K24:Q29">
    <cfRule type="expression" dxfId="155" priority="10" stopIfTrue="1">
      <formula>AND(ISNUMBER(K24),COUNTIF(Feiertage_aktiv,K24)&gt;0)</formula>
    </cfRule>
  </conditionalFormatting>
  <conditionalFormatting sqref="T6:Z11">
    <cfRule type="expression" dxfId="154" priority="3" stopIfTrue="1">
      <formula>AND(ISNUMBER(T6),COUNTIF(Feiertage_aktiv,T6)&gt;0)</formula>
    </cfRule>
  </conditionalFormatting>
  <conditionalFormatting sqref="T15:Z20">
    <cfRule type="expression" dxfId="153" priority="7" stopIfTrue="1">
      <formula>AND(ISNUMBER(T15),COUNTIF(Feiertage_aktiv,T15)&gt;0)</formula>
    </cfRule>
  </conditionalFormatting>
  <conditionalFormatting sqref="T24:Z29">
    <cfRule type="expression" dxfId="152" priority="11" stopIfTrue="1">
      <formula>AND(ISNUMBER(T24),COUNTIF(Feiertage_aktiv,T24)&gt;0)</formula>
    </cfRule>
  </conditionalFormatting>
  <conditionalFormatting sqref="AC6:AI11">
    <cfRule type="expression" dxfId="151" priority="4" stopIfTrue="1">
      <formula>AND(ISNUMBER(AC6),COUNTIF(Feiertage_aktiv,AC6)&gt;0)</formula>
    </cfRule>
  </conditionalFormatting>
  <conditionalFormatting sqref="AC15:AI20">
    <cfRule type="expression" dxfId="150" priority="8" stopIfTrue="1">
      <formula>AND(ISNUMBER(AC15),COUNTIF(Feiertage_aktiv,AC15)&gt;0)</formula>
    </cfRule>
  </conditionalFormatting>
  <conditionalFormatting sqref="AC24:AI29">
    <cfRule type="expression" dxfId="149" priority="12" stopIfTrue="1">
      <formula>AND(ISNUMBER(AC24),COUNTIF(Feiertage_aktiv,AC24)&gt;0)</formula>
    </cfRule>
  </conditionalFormatting>
  <dataValidations count="1">
    <dataValidation type="whole" showInputMessage="1" showErrorMessage="1" errorTitle="Jahr" error="Bitte ein Jahr zwischen 2026 und 2078 eintragen. Die Feiertagsregeln entsprechen dem Stand Oktober 2026." promptTitle="Jahr" prompt="Jahr eintragen, zum Beispiel 2028. Alle Blätter rechnen neu." sqref="AA1" xr:uid="{00000000-0002-0000-0100-000000000000}">
      <formula1>2026</formula1>
      <formula2>2078</formula2>
    </dataValidation>
  </dataValidations>
  <printOptions horizontalCentered="1"/>
  <pageMargins left="0.4" right="0.4" top="0.45" bottom="0.55000000000000004" header="0.2" footer="0.25"/>
  <pageSetup paperSize="9" orientation="landscape"/>
  <headerFooter>
    <oddFooter>&amp;C&amp;8 &amp;K686E70Vorlage von seminaron.de&amp;R&amp;8 &amp;K686E70&amp;A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promptTitle="Bundesland" prompt="Bundesland aus der Liste wählen. Die Feiertage passen sich an." xr:uid="{00000000-0002-0000-0100-000001000000}">
          <x14:formula1>
            <xm:f>Feiertage!$C$4:$R$4</xm:f>
          </x14:formula1>
          <xm:sqref>AA2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8"/>
  <sheetViews>
    <sheetView showGridLines="0" zoomScale="85" workbookViewId="0"/>
  </sheetViews>
  <sheetFormatPr baseColWidth="10" defaultColWidth="9.140625" defaultRowHeight="15" x14ac:dyDescent="0.25"/>
  <cols>
    <col min="1" max="1" width="5.42578125" customWidth="1"/>
    <col min="2" max="8" width="19.42578125" customWidth="1"/>
    <col min="9" max="9" width="1.42578125" customWidth="1"/>
    <col min="10" max="10" width="30" customWidth="1"/>
  </cols>
  <sheetData>
    <row r="1" spans="1:10" ht="36" customHeight="1" x14ac:dyDescent="0.25">
      <c r="A1" s="34" t="str">
        <f>"Januar "&amp;Jahr</f>
        <v>Januar 2027</v>
      </c>
    </row>
    <row r="2" spans="1:10" ht="18" customHeight="1" x14ac:dyDescent="0.25">
      <c r="A2" s="20" t="str">
        <f>"Feiertage: "&amp;Bundesland&amp;" · Arbeitstage Montag bis Freitag: "&amp;NETWORKDAYS(DATE(Jahr,1,1),DATE(Jahr,2,0),Feiertage_aktiv)</f>
        <v>Feiertage: Nordrhein-Westfalen · Arbeitstage Montag bis Freitag: 20</v>
      </c>
    </row>
    <row r="3" spans="1:10" ht="21" customHeight="1" x14ac:dyDescent="0.25">
      <c r="A3" s="35" t="s">
        <v>7</v>
      </c>
      <c r="B3" s="35" t="s">
        <v>56</v>
      </c>
      <c r="C3" s="35" t="s">
        <v>57</v>
      </c>
      <c r="D3" s="35" t="s">
        <v>58</v>
      </c>
      <c r="E3" s="35" t="s">
        <v>59</v>
      </c>
      <c r="F3" s="35" t="s">
        <v>60</v>
      </c>
      <c r="G3" s="36" t="s">
        <v>61</v>
      </c>
      <c r="H3" s="36" t="s">
        <v>62</v>
      </c>
      <c r="J3" s="35" t="s">
        <v>63</v>
      </c>
    </row>
    <row r="4" spans="1:10" ht="24.95" customHeight="1" x14ac:dyDescent="0.25">
      <c r="A4" s="81">
        <f>IF(OR(MONTH((DATE(Jahr,1,1)-WEEKDAY(DATE(Jahr,1,1),2)+1)+0)=1,MONTH((DATE(Jahr,1,1)-WEEKDAY(DATE(Jahr,1,1),2)+1)+0+6)=1),_xlfn.ISOWEEKNUM((DATE(Jahr,1,1)-WEEKDAY(DATE(Jahr,1,1),2)+1)+0),"")</f>
        <v>53</v>
      </c>
      <c r="B4" s="37" t="str">
        <f>IF(MONTH((DATE(Jahr,1,1)-WEEKDAY(DATE(Jahr,1,1),2)+1)+0)=1,(DATE(Jahr,1,1)-WEEKDAY(DATE(Jahr,1,1),2)+1)+0,"")</f>
        <v/>
      </c>
      <c r="C4" s="37" t="str">
        <f>IF(MONTH((DATE(Jahr,1,1)-WEEKDAY(DATE(Jahr,1,1),2)+1)+1)=1,(DATE(Jahr,1,1)-WEEKDAY(DATE(Jahr,1,1),2)+1)+1,"")</f>
        <v/>
      </c>
      <c r="D4" s="37" t="str">
        <f>IF(MONTH((DATE(Jahr,1,1)-WEEKDAY(DATE(Jahr,1,1),2)+1)+2)=1,(DATE(Jahr,1,1)-WEEKDAY(DATE(Jahr,1,1),2)+1)+2,"")</f>
        <v/>
      </c>
      <c r="E4" s="37" t="str">
        <f>IF(MONTH((DATE(Jahr,1,1)-WEEKDAY(DATE(Jahr,1,1),2)+1)+3)=1,(DATE(Jahr,1,1)-WEEKDAY(DATE(Jahr,1,1),2)+1)+3,"")</f>
        <v/>
      </c>
      <c r="F4" s="37">
        <f>IF(MONTH((DATE(Jahr,1,1)-WEEKDAY(DATE(Jahr,1,1),2)+1)+4)=1,(DATE(Jahr,1,1)-WEEKDAY(DATE(Jahr,1,1),2)+1)+4,"")</f>
        <v>46388</v>
      </c>
      <c r="G4" s="38">
        <f>IF(MONTH((DATE(Jahr,1,1)-WEEKDAY(DATE(Jahr,1,1),2)+1)+5)=1,(DATE(Jahr,1,1)-WEEKDAY(DATE(Jahr,1,1),2)+1)+5,"")</f>
        <v>46389</v>
      </c>
      <c r="H4" s="38">
        <f>IF(MONTH((DATE(Jahr,1,1)-WEEKDAY(DATE(Jahr,1,1),2)+1)+6)=1,(DATE(Jahr,1,1)-WEEKDAY(DATE(Jahr,1,1),2)+1)+6,"")</f>
        <v>46390</v>
      </c>
      <c r="J4" s="39"/>
    </row>
    <row r="5" spans="1:10" ht="27.95" customHeight="1" x14ac:dyDescent="0.25">
      <c r="A5" s="82"/>
      <c r="B5" s="40" t="str">
        <f t="shared" ref="B5:H5" si="0">IF(ISNUMBER(B4),IF(IFERROR(INDEX(FT_Name,MATCH(B4,Feiertage_aktiv,0)),"")="",IFERROR(INDEX(BT_Name,MATCH(B4,BT_Datum,0)),""),IF(IFERROR(INDEX(BT_Name,MATCH(B4,BT_Datum,0)),"")="",IFERROR(INDEX(FT_Name,MATCH(B4,Feiertage_aktiv,0)),""),IF(LEFT(IFERROR(INDEX(BT_Name,MATCH(B4,BT_Datum,0)),""),LEN(IFERROR(INDEX(FT_Name,MATCH(B4,Feiertage_aktiv,0)),"")))=IFERROR(INDEX(FT_Name,MATCH(B4,Feiertage_aktiv,0)),""),IFERROR(INDEX(BT_Name,MATCH(B4,BT_Datum,0)),""),IFERROR(INDEX(FT_Name,MATCH(B4,Feiertage_aktiv,0)),"")&amp;" · "&amp;IFERROR(INDEX(BT_Name,MATCH(B4,BT_Datum,0)),"")))),"")</f>
        <v/>
      </c>
      <c r="C5" s="40" t="str">
        <f t="shared" si="0"/>
        <v/>
      </c>
      <c r="D5" s="40" t="str">
        <f t="shared" si="0"/>
        <v/>
      </c>
      <c r="E5" s="40" t="str">
        <f t="shared" si="0"/>
        <v/>
      </c>
      <c r="F5" s="40" t="str">
        <f t="shared" si="0"/>
        <v>Neujahr</v>
      </c>
      <c r="G5" s="41" t="str">
        <f t="shared" si="0"/>
        <v/>
      </c>
      <c r="H5" s="41" t="str">
        <f t="shared" si="0"/>
        <v/>
      </c>
      <c r="J5" s="39"/>
    </row>
    <row r="6" spans="1:10" ht="21.95" customHeight="1" x14ac:dyDescent="0.25">
      <c r="A6" s="82"/>
      <c r="B6" s="42"/>
      <c r="C6" s="42"/>
      <c r="D6" s="42"/>
      <c r="E6" s="42"/>
      <c r="F6" s="42"/>
      <c r="G6" s="43"/>
      <c r="H6" s="43"/>
      <c r="J6" s="39"/>
    </row>
    <row r="7" spans="1:10" ht="23.1" customHeight="1" x14ac:dyDescent="0.25">
      <c r="A7" s="83"/>
      <c r="B7" s="44"/>
      <c r="C7" s="44"/>
      <c r="D7" s="44"/>
      <c r="E7" s="44"/>
      <c r="F7" s="44"/>
      <c r="G7" s="45"/>
      <c r="H7" s="45"/>
      <c r="J7" s="46"/>
    </row>
    <row r="8" spans="1:10" ht="24.95" customHeight="1" x14ac:dyDescent="0.25">
      <c r="A8" s="81">
        <f>IF(OR(MONTH((DATE(Jahr,1,1)-WEEKDAY(DATE(Jahr,1,1),2)+1)+7)=1,MONTH((DATE(Jahr,1,1)-WEEKDAY(DATE(Jahr,1,1),2)+1)+7+6)=1),_xlfn.ISOWEEKNUM((DATE(Jahr,1,1)-WEEKDAY(DATE(Jahr,1,1),2)+1)+7),"")</f>
        <v>1</v>
      </c>
      <c r="B8" s="37">
        <f>IF(MONTH((DATE(Jahr,1,1)-WEEKDAY(DATE(Jahr,1,1),2)+1)+7)=1,(DATE(Jahr,1,1)-WEEKDAY(DATE(Jahr,1,1),2)+1)+7,"")</f>
        <v>46391</v>
      </c>
      <c r="C8" s="37">
        <f>IF(MONTH((DATE(Jahr,1,1)-WEEKDAY(DATE(Jahr,1,1),2)+1)+8)=1,(DATE(Jahr,1,1)-WEEKDAY(DATE(Jahr,1,1),2)+1)+8,"")</f>
        <v>46392</v>
      </c>
      <c r="D8" s="37">
        <f>IF(MONTH((DATE(Jahr,1,1)-WEEKDAY(DATE(Jahr,1,1),2)+1)+9)=1,(DATE(Jahr,1,1)-WEEKDAY(DATE(Jahr,1,1),2)+1)+9,"")</f>
        <v>46393</v>
      </c>
      <c r="E8" s="37">
        <f>IF(MONTH((DATE(Jahr,1,1)-WEEKDAY(DATE(Jahr,1,1),2)+1)+10)=1,(DATE(Jahr,1,1)-WEEKDAY(DATE(Jahr,1,1),2)+1)+10,"")</f>
        <v>46394</v>
      </c>
      <c r="F8" s="37">
        <f>IF(MONTH((DATE(Jahr,1,1)-WEEKDAY(DATE(Jahr,1,1),2)+1)+11)=1,(DATE(Jahr,1,1)-WEEKDAY(DATE(Jahr,1,1),2)+1)+11,"")</f>
        <v>46395</v>
      </c>
      <c r="G8" s="38">
        <f>IF(MONTH((DATE(Jahr,1,1)-WEEKDAY(DATE(Jahr,1,1),2)+1)+12)=1,(DATE(Jahr,1,1)-WEEKDAY(DATE(Jahr,1,1),2)+1)+12,"")</f>
        <v>46396</v>
      </c>
      <c r="H8" s="38">
        <f>IF(MONTH((DATE(Jahr,1,1)-WEEKDAY(DATE(Jahr,1,1),2)+1)+13)=1,(DATE(Jahr,1,1)-WEEKDAY(DATE(Jahr,1,1),2)+1)+13,"")</f>
        <v>46397</v>
      </c>
      <c r="J8" s="39"/>
    </row>
    <row r="9" spans="1:10" ht="27.95" customHeight="1" x14ac:dyDescent="0.25">
      <c r="A9" s="82"/>
      <c r="B9" s="40" t="str">
        <f t="shared" ref="B9:H9" si="1">IF(ISNUMBER(B8),IF(IFERROR(INDEX(FT_Name,MATCH(B8,Feiertage_aktiv,0)),"")="",IFERROR(INDEX(BT_Name,MATCH(B8,BT_Datum,0)),""),IF(IFERROR(INDEX(BT_Name,MATCH(B8,BT_Datum,0)),"")="",IFERROR(INDEX(FT_Name,MATCH(B8,Feiertage_aktiv,0)),""),IF(LEFT(IFERROR(INDEX(BT_Name,MATCH(B8,BT_Datum,0)),""),LEN(IFERROR(INDEX(FT_Name,MATCH(B8,Feiertage_aktiv,0)),"")))=IFERROR(INDEX(FT_Name,MATCH(B8,Feiertage_aktiv,0)),""),IFERROR(INDEX(BT_Name,MATCH(B8,BT_Datum,0)),""),IFERROR(INDEX(FT_Name,MATCH(B8,Feiertage_aktiv,0)),"")&amp;" · "&amp;IFERROR(INDEX(BT_Name,MATCH(B8,BT_Datum,0)),"")))),"")</f>
        <v/>
      </c>
      <c r="C9" s="40" t="str">
        <f t="shared" si="1"/>
        <v/>
      </c>
      <c r="D9" s="40" t="str">
        <f t="shared" si="1"/>
        <v/>
      </c>
      <c r="E9" s="40" t="str">
        <f t="shared" si="1"/>
        <v/>
      </c>
      <c r="F9" s="40" t="str">
        <f t="shared" si="1"/>
        <v/>
      </c>
      <c r="G9" s="41" t="str">
        <f t="shared" si="1"/>
        <v/>
      </c>
      <c r="H9" s="41" t="str">
        <f t="shared" si="1"/>
        <v/>
      </c>
      <c r="J9" s="39"/>
    </row>
    <row r="10" spans="1:10" ht="21.95" customHeight="1" x14ac:dyDescent="0.25">
      <c r="A10" s="82"/>
      <c r="B10" s="42"/>
      <c r="C10" s="42"/>
      <c r="D10" s="42"/>
      <c r="E10" s="42"/>
      <c r="F10" s="42"/>
      <c r="G10" s="43"/>
      <c r="H10" s="43"/>
      <c r="J10" s="39"/>
    </row>
    <row r="11" spans="1:10" ht="23.1" customHeight="1" x14ac:dyDescent="0.25">
      <c r="A11" s="83"/>
      <c r="B11" s="44"/>
      <c r="C11" s="44"/>
      <c r="D11" s="44"/>
      <c r="E11" s="44"/>
      <c r="F11" s="44"/>
      <c r="G11" s="45"/>
      <c r="H11" s="45"/>
      <c r="J11" s="46"/>
    </row>
    <row r="12" spans="1:10" ht="24.95" customHeight="1" x14ac:dyDescent="0.25">
      <c r="A12" s="81">
        <f>IF(OR(MONTH((DATE(Jahr,1,1)-WEEKDAY(DATE(Jahr,1,1),2)+1)+14)=1,MONTH((DATE(Jahr,1,1)-WEEKDAY(DATE(Jahr,1,1),2)+1)+14+6)=1),_xlfn.ISOWEEKNUM((DATE(Jahr,1,1)-WEEKDAY(DATE(Jahr,1,1),2)+1)+14),"")</f>
        <v>2</v>
      </c>
      <c r="B12" s="37">
        <f>IF(MONTH((DATE(Jahr,1,1)-WEEKDAY(DATE(Jahr,1,1),2)+1)+14)=1,(DATE(Jahr,1,1)-WEEKDAY(DATE(Jahr,1,1),2)+1)+14,"")</f>
        <v>46398</v>
      </c>
      <c r="C12" s="37">
        <f>IF(MONTH((DATE(Jahr,1,1)-WEEKDAY(DATE(Jahr,1,1),2)+1)+15)=1,(DATE(Jahr,1,1)-WEEKDAY(DATE(Jahr,1,1),2)+1)+15,"")</f>
        <v>46399</v>
      </c>
      <c r="D12" s="37">
        <f>IF(MONTH((DATE(Jahr,1,1)-WEEKDAY(DATE(Jahr,1,1),2)+1)+16)=1,(DATE(Jahr,1,1)-WEEKDAY(DATE(Jahr,1,1),2)+1)+16,"")</f>
        <v>46400</v>
      </c>
      <c r="E12" s="37">
        <f>IF(MONTH((DATE(Jahr,1,1)-WEEKDAY(DATE(Jahr,1,1),2)+1)+17)=1,(DATE(Jahr,1,1)-WEEKDAY(DATE(Jahr,1,1),2)+1)+17,"")</f>
        <v>46401</v>
      </c>
      <c r="F12" s="37">
        <f>IF(MONTH((DATE(Jahr,1,1)-WEEKDAY(DATE(Jahr,1,1),2)+1)+18)=1,(DATE(Jahr,1,1)-WEEKDAY(DATE(Jahr,1,1),2)+1)+18,"")</f>
        <v>46402</v>
      </c>
      <c r="G12" s="38">
        <f>IF(MONTH((DATE(Jahr,1,1)-WEEKDAY(DATE(Jahr,1,1),2)+1)+19)=1,(DATE(Jahr,1,1)-WEEKDAY(DATE(Jahr,1,1),2)+1)+19,"")</f>
        <v>46403</v>
      </c>
      <c r="H12" s="38">
        <f>IF(MONTH((DATE(Jahr,1,1)-WEEKDAY(DATE(Jahr,1,1),2)+1)+20)=1,(DATE(Jahr,1,1)-WEEKDAY(DATE(Jahr,1,1),2)+1)+20,"")</f>
        <v>46404</v>
      </c>
      <c r="J12" s="39"/>
    </row>
    <row r="13" spans="1:10" ht="27.95" customHeight="1" x14ac:dyDescent="0.25">
      <c r="A13" s="82"/>
      <c r="B13" s="40" t="str">
        <f t="shared" ref="B13:H13" si="2">IF(ISNUMBER(B12),IF(IFERROR(INDEX(FT_Name,MATCH(B12,Feiertage_aktiv,0)),"")="",IFERROR(INDEX(BT_Name,MATCH(B12,BT_Datum,0)),""),IF(IFERROR(INDEX(BT_Name,MATCH(B12,BT_Datum,0)),"")="",IFERROR(INDEX(FT_Name,MATCH(B12,Feiertage_aktiv,0)),""),IF(LEFT(IFERROR(INDEX(BT_Name,MATCH(B12,BT_Datum,0)),""),LEN(IFERROR(INDEX(FT_Name,MATCH(B12,Feiertage_aktiv,0)),"")))=IFERROR(INDEX(FT_Name,MATCH(B12,Feiertage_aktiv,0)),""),IFERROR(INDEX(BT_Name,MATCH(B12,BT_Datum,0)),""),IFERROR(INDEX(FT_Name,MATCH(B12,Feiertage_aktiv,0)),"")&amp;" · "&amp;IFERROR(INDEX(BT_Name,MATCH(B12,BT_Datum,0)),"")))),"")</f>
        <v/>
      </c>
      <c r="C13" s="40" t="str">
        <f t="shared" si="2"/>
        <v/>
      </c>
      <c r="D13" s="40" t="str">
        <f t="shared" si="2"/>
        <v/>
      </c>
      <c r="E13" s="40" t="str">
        <f t="shared" si="2"/>
        <v/>
      </c>
      <c r="F13" s="40" t="str">
        <f t="shared" si="2"/>
        <v/>
      </c>
      <c r="G13" s="41" t="str">
        <f t="shared" si="2"/>
        <v/>
      </c>
      <c r="H13" s="41" t="str">
        <f t="shared" si="2"/>
        <v/>
      </c>
      <c r="J13" s="39"/>
    </row>
    <row r="14" spans="1:10" ht="21.95" customHeight="1" x14ac:dyDescent="0.25">
      <c r="A14" s="82"/>
      <c r="B14" s="42"/>
      <c r="C14" s="42"/>
      <c r="D14" s="42"/>
      <c r="E14" s="42"/>
      <c r="F14" s="42"/>
      <c r="G14" s="43"/>
      <c r="H14" s="43"/>
      <c r="J14" s="39"/>
    </row>
    <row r="15" spans="1:10" ht="23.1" customHeight="1" x14ac:dyDescent="0.25">
      <c r="A15" s="83"/>
      <c r="B15" s="44"/>
      <c r="C15" s="44"/>
      <c r="D15" s="44"/>
      <c r="E15" s="44"/>
      <c r="F15" s="44"/>
      <c r="G15" s="45"/>
      <c r="H15" s="45"/>
      <c r="J15" s="46"/>
    </row>
    <row r="16" spans="1:10" ht="24.95" customHeight="1" x14ac:dyDescent="0.25">
      <c r="A16" s="81">
        <f>IF(OR(MONTH((DATE(Jahr,1,1)-WEEKDAY(DATE(Jahr,1,1),2)+1)+21)=1,MONTH((DATE(Jahr,1,1)-WEEKDAY(DATE(Jahr,1,1),2)+1)+21+6)=1),_xlfn.ISOWEEKNUM((DATE(Jahr,1,1)-WEEKDAY(DATE(Jahr,1,1),2)+1)+21),"")</f>
        <v>3</v>
      </c>
      <c r="B16" s="37">
        <f>IF(MONTH((DATE(Jahr,1,1)-WEEKDAY(DATE(Jahr,1,1),2)+1)+21)=1,(DATE(Jahr,1,1)-WEEKDAY(DATE(Jahr,1,1),2)+1)+21,"")</f>
        <v>46405</v>
      </c>
      <c r="C16" s="37">
        <f>IF(MONTH((DATE(Jahr,1,1)-WEEKDAY(DATE(Jahr,1,1),2)+1)+22)=1,(DATE(Jahr,1,1)-WEEKDAY(DATE(Jahr,1,1),2)+1)+22,"")</f>
        <v>46406</v>
      </c>
      <c r="D16" s="37">
        <f>IF(MONTH((DATE(Jahr,1,1)-WEEKDAY(DATE(Jahr,1,1),2)+1)+23)=1,(DATE(Jahr,1,1)-WEEKDAY(DATE(Jahr,1,1),2)+1)+23,"")</f>
        <v>46407</v>
      </c>
      <c r="E16" s="37">
        <f>IF(MONTH((DATE(Jahr,1,1)-WEEKDAY(DATE(Jahr,1,1),2)+1)+24)=1,(DATE(Jahr,1,1)-WEEKDAY(DATE(Jahr,1,1),2)+1)+24,"")</f>
        <v>46408</v>
      </c>
      <c r="F16" s="37">
        <f>IF(MONTH((DATE(Jahr,1,1)-WEEKDAY(DATE(Jahr,1,1),2)+1)+25)=1,(DATE(Jahr,1,1)-WEEKDAY(DATE(Jahr,1,1),2)+1)+25,"")</f>
        <v>46409</v>
      </c>
      <c r="G16" s="38">
        <f>IF(MONTH((DATE(Jahr,1,1)-WEEKDAY(DATE(Jahr,1,1),2)+1)+26)=1,(DATE(Jahr,1,1)-WEEKDAY(DATE(Jahr,1,1),2)+1)+26,"")</f>
        <v>46410</v>
      </c>
      <c r="H16" s="38">
        <f>IF(MONTH((DATE(Jahr,1,1)-WEEKDAY(DATE(Jahr,1,1),2)+1)+27)=1,(DATE(Jahr,1,1)-WEEKDAY(DATE(Jahr,1,1),2)+1)+27,"")</f>
        <v>46411</v>
      </c>
      <c r="J16" s="39"/>
    </row>
    <row r="17" spans="1:10" ht="27.95" customHeight="1" x14ac:dyDescent="0.25">
      <c r="A17" s="82"/>
      <c r="B17" s="40" t="str">
        <f t="shared" ref="B17:H17" si="3">IF(ISNUMBER(B16),IF(IFERROR(INDEX(FT_Name,MATCH(B16,Feiertage_aktiv,0)),"")="",IFERROR(INDEX(BT_Name,MATCH(B16,BT_Datum,0)),""),IF(IFERROR(INDEX(BT_Name,MATCH(B16,BT_Datum,0)),"")="",IFERROR(INDEX(FT_Name,MATCH(B16,Feiertage_aktiv,0)),""),IF(LEFT(IFERROR(INDEX(BT_Name,MATCH(B16,BT_Datum,0)),""),LEN(IFERROR(INDEX(FT_Name,MATCH(B16,Feiertage_aktiv,0)),"")))=IFERROR(INDEX(FT_Name,MATCH(B16,Feiertage_aktiv,0)),""),IFERROR(INDEX(BT_Name,MATCH(B16,BT_Datum,0)),""),IFERROR(INDEX(FT_Name,MATCH(B16,Feiertage_aktiv,0)),"")&amp;" · "&amp;IFERROR(INDEX(BT_Name,MATCH(B16,BT_Datum,0)),"")))),"")</f>
        <v/>
      </c>
      <c r="C17" s="40" t="str">
        <f t="shared" si="3"/>
        <v/>
      </c>
      <c r="D17" s="40" t="str">
        <f t="shared" si="3"/>
        <v/>
      </c>
      <c r="E17" s="40" t="str">
        <f t="shared" si="3"/>
        <v/>
      </c>
      <c r="F17" s="40" t="str">
        <f t="shared" si="3"/>
        <v/>
      </c>
      <c r="G17" s="41" t="str">
        <f t="shared" si="3"/>
        <v/>
      </c>
      <c r="H17" s="41" t="str">
        <f t="shared" si="3"/>
        <v/>
      </c>
      <c r="J17" s="39"/>
    </row>
    <row r="18" spans="1:10" ht="21.95" customHeight="1" x14ac:dyDescent="0.25">
      <c r="A18" s="82"/>
      <c r="B18" s="42"/>
      <c r="C18" s="42"/>
      <c r="D18" s="42"/>
      <c r="E18" s="42"/>
      <c r="F18" s="42"/>
      <c r="G18" s="43"/>
      <c r="H18" s="43"/>
      <c r="J18" s="39"/>
    </row>
    <row r="19" spans="1:10" ht="23.1" customHeight="1" x14ac:dyDescent="0.25">
      <c r="A19" s="83"/>
      <c r="B19" s="44"/>
      <c r="C19" s="44"/>
      <c r="D19" s="44"/>
      <c r="E19" s="44"/>
      <c r="F19" s="44"/>
      <c r="G19" s="45"/>
      <c r="H19" s="45"/>
      <c r="J19" s="46"/>
    </row>
    <row r="20" spans="1:10" ht="24.95" customHeight="1" x14ac:dyDescent="0.25">
      <c r="A20" s="81">
        <f>IF(OR(MONTH((DATE(Jahr,1,1)-WEEKDAY(DATE(Jahr,1,1),2)+1)+28)=1,MONTH((DATE(Jahr,1,1)-WEEKDAY(DATE(Jahr,1,1),2)+1)+28+6)=1),_xlfn.ISOWEEKNUM((DATE(Jahr,1,1)-WEEKDAY(DATE(Jahr,1,1),2)+1)+28),"")</f>
        <v>4</v>
      </c>
      <c r="B20" s="37">
        <f>IF(MONTH((DATE(Jahr,1,1)-WEEKDAY(DATE(Jahr,1,1),2)+1)+28)=1,(DATE(Jahr,1,1)-WEEKDAY(DATE(Jahr,1,1),2)+1)+28,"")</f>
        <v>46412</v>
      </c>
      <c r="C20" s="37">
        <f>IF(MONTH((DATE(Jahr,1,1)-WEEKDAY(DATE(Jahr,1,1),2)+1)+29)=1,(DATE(Jahr,1,1)-WEEKDAY(DATE(Jahr,1,1),2)+1)+29,"")</f>
        <v>46413</v>
      </c>
      <c r="D20" s="37">
        <f>IF(MONTH((DATE(Jahr,1,1)-WEEKDAY(DATE(Jahr,1,1),2)+1)+30)=1,(DATE(Jahr,1,1)-WEEKDAY(DATE(Jahr,1,1),2)+1)+30,"")</f>
        <v>46414</v>
      </c>
      <c r="E20" s="37">
        <f>IF(MONTH((DATE(Jahr,1,1)-WEEKDAY(DATE(Jahr,1,1),2)+1)+31)=1,(DATE(Jahr,1,1)-WEEKDAY(DATE(Jahr,1,1),2)+1)+31,"")</f>
        <v>46415</v>
      </c>
      <c r="F20" s="37">
        <f>IF(MONTH((DATE(Jahr,1,1)-WEEKDAY(DATE(Jahr,1,1),2)+1)+32)=1,(DATE(Jahr,1,1)-WEEKDAY(DATE(Jahr,1,1),2)+1)+32,"")</f>
        <v>46416</v>
      </c>
      <c r="G20" s="38">
        <f>IF(MONTH((DATE(Jahr,1,1)-WEEKDAY(DATE(Jahr,1,1),2)+1)+33)=1,(DATE(Jahr,1,1)-WEEKDAY(DATE(Jahr,1,1),2)+1)+33,"")</f>
        <v>46417</v>
      </c>
      <c r="H20" s="38">
        <f>IF(MONTH((DATE(Jahr,1,1)-WEEKDAY(DATE(Jahr,1,1),2)+1)+34)=1,(DATE(Jahr,1,1)-WEEKDAY(DATE(Jahr,1,1),2)+1)+34,"")</f>
        <v>46418</v>
      </c>
      <c r="J20" s="39"/>
    </row>
    <row r="21" spans="1:10" ht="27.95" customHeight="1" x14ac:dyDescent="0.25">
      <c r="A21" s="82"/>
      <c r="B21" s="40" t="str">
        <f t="shared" ref="B21:H21" si="4">IF(ISNUMBER(B20),IF(IFERROR(INDEX(FT_Name,MATCH(B20,Feiertage_aktiv,0)),"")="",IFERROR(INDEX(BT_Name,MATCH(B20,BT_Datum,0)),""),IF(IFERROR(INDEX(BT_Name,MATCH(B20,BT_Datum,0)),"")="",IFERROR(INDEX(FT_Name,MATCH(B20,Feiertage_aktiv,0)),""),IF(LEFT(IFERROR(INDEX(BT_Name,MATCH(B20,BT_Datum,0)),""),LEN(IFERROR(INDEX(FT_Name,MATCH(B20,Feiertage_aktiv,0)),"")))=IFERROR(INDEX(FT_Name,MATCH(B20,Feiertage_aktiv,0)),""),IFERROR(INDEX(BT_Name,MATCH(B20,BT_Datum,0)),""),IFERROR(INDEX(FT_Name,MATCH(B20,Feiertage_aktiv,0)),"")&amp;" · "&amp;IFERROR(INDEX(BT_Name,MATCH(B20,BT_Datum,0)),"")))),"")</f>
        <v/>
      </c>
      <c r="C21" s="40" t="str">
        <f t="shared" si="4"/>
        <v/>
      </c>
      <c r="D21" s="40" t="str">
        <f t="shared" si="4"/>
        <v/>
      </c>
      <c r="E21" s="40" t="str">
        <f t="shared" si="4"/>
        <v/>
      </c>
      <c r="F21" s="40" t="str">
        <f t="shared" si="4"/>
        <v/>
      </c>
      <c r="G21" s="41" t="str">
        <f t="shared" si="4"/>
        <v/>
      </c>
      <c r="H21" s="41" t="str">
        <f t="shared" si="4"/>
        <v/>
      </c>
      <c r="J21" s="39"/>
    </row>
    <row r="22" spans="1:10" ht="21.95" customHeight="1" x14ac:dyDescent="0.25">
      <c r="A22" s="82"/>
      <c r="B22" s="42"/>
      <c r="C22" s="42"/>
      <c r="D22" s="42"/>
      <c r="E22" s="42"/>
      <c r="F22" s="42"/>
      <c r="G22" s="43"/>
      <c r="H22" s="43"/>
      <c r="J22" s="39"/>
    </row>
    <row r="23" spans="1:10" ht="23.1" customHeight="1" x14ac:dyDescent="0.25">
      <c r="A23" s="83"/>
      <c r="B23" s="44"/>
      <c r="C23" s="44"/>
      <c r="D23" s="44"/>
      <c r="E23" s="44"/>
      <c r="F23" s="44"/>
      <c r="G23" s="45"/>
      <c r="H23" s="45"/>
      <c r="J23" s="46"/>
    </row>
    <row r="24" spans="1:10" ht="24.95" customHeight="1" x14ac:dyDescent="0.25">
      <c r="A24" s="81" t="str">
        <f>IF(OR(MONTH((DATE(Jahr,1,1)-WEEKDAY(DATE(Jahr,1,1),2)+1)+35)=1,MONTH((DATE(Jahr,1,1)-WEEKDAY(DATE(Jahr,1,1),2)+1)+35+6)=1),_xlfn.ISOWEEKNUM((DATE(Jahr,1,1)-WEEKDAY(DATE(Jahr,1,1),2)+1)+35),"")</f>
        <v/>
      </c>
      <c r="B24" s="37" t="str">
        <f>IF(MONTH((DATE(Jahr,1,1)-WEEKDAY(DATE(Jahr,1,1),2)+1)+35)=1,(DATE(Jahr,1,1)-WEEKDAY(DATE(Jahr,1,1),2)+1)+35,"")</f>
        <v/>
      </c>
      <c r="C24" s="37" t="str">
        <f>IF(MONTH((DATE(Jahr,1,1)-WEEKDAY(DATE(Jahr,1,1),2)+1)+36)=1,(DATE(Jahr,1,1)-WEEKDAY(DATE(Jahr,1,1),2)+1)+36,"")</f>
        <v/>
      </c>
      <c r="D24" s="37" t="str">
        <f>IF(MONTH((DATE(Jahr,1,1)-WEEKDAY(DATE(Jahr,1,1),2)+1)+37)=1,(DATE(Jahr,1,1)-WEEKDAY(DATE(Jahr,1,1),2)+1)+37,"")</f>
        <v/>
      </c>
      <c r="E24" s="37" t="str">
        <f>IF(MONTH((DATE(Jahr,1,1)-WEEKDAY(DATE(Jahr,1,1),2)+1)+38)=1,(DATE(Jahr,1,1)-WEEKDAY(DATE(Jahr,1,1),2)+1)+38,"")</f>
        <v/>
      </c>
      <c r="F24" s="37" t="str">
        <f>IF(MONTH((DATE(Jahr,1,1)-WEEKDAY(DATE(Jahr,1,1),2)+1)+39)=1,(DATE(Jahr,1,1)-WEEKDAY(DATE(Jahr,1,1),2)+1)+39,"")</f>
        <v/>
      </c>
      <c r="G24" s="38" t="str">
        <f>IF(MONTH((DATE(Jahr,1,1)-WEEKDAY(DATE(Jahr,1,1),2)+1)+40)=1,(DATE(Jahr,1,1)-WEEKDAY(DATE(Jahr,1,1),2)+1)+40,"")</f>
        <v/>
      </c>
      <c r="H24" s="38" t="str">
        <f>IF(MONTH((DATE(Jahr,1,1)-WEEKDAY(DATE(Jahr,1,1),2)+1)+41)=1,(DATE(Jahr,1,1)-WEEKDAY(DATE(Jahr,1,1),2)+1)+41,"")</f>
        <v/>
      </c>
      <c r="J24" s="39"/>
    </row>
    <row r="25" spans="1:10" ht="27.95" customHeight="1" x14ac:dyDescent="0.25">
      <c r="A25" s="82"/>
      <c r="B25" s="40" t="str">
        <f t="shared" ref="B25:H25" si="5">IF(ISNUMBER(B24),IF(IFERROR(INDEX(FT_Name,MATCH(B24,Feiertage_aktiv,0)),"")="",IFERROR(INDEX(BT_Name,MATCH(B24,BT_Datum,0)),""),IF(IFERROR(INDEX(BT_Name,MATCH(B24,BT_Datum,0)),"")="",IFERROR(INDEX(FT_Name,MATCH(B24,Feiertage_aktiv,0)),""),IF(LEFT(IFERROR(INDEX(BT_Name,MATCH(B24,BT_Datum,0)),""),LEN(IFERROR(INDEX(FT_Name,MATCH(B24,Feiertage_aktiv,0)),"")))=IFERROR(INDEX(FT_Name,MATCH(B24,Feiertage_aktiv,0)),""),IFERROR(INDEX(BT_Name,MATCH(B24,BT_Datum,0)),""),IFERROR(INDEX(FT_Name,MATCH(B24,Feiertage_aktiv,0)),"")&amp;" · "&amp;IFERROR(INDEX(BT_Name,MATCH(B24,BT_Datum,0)),"")))),"")</f>
        <v/>
      </c>
      <c r="C25" s="40" t="str">
        <f t="shared" si="5"/>
        <v/>
      </c>
      <c r="D25" s="40" t="str">
        <f t="shared" si="5"/>
        <v/>
      </c>
      <c r="E25" s="40" t="str">
        <f t="shared" si="5"/>
        <v/>
      </c>
      <c r="F25" s="40" t="str">
        <f t="shared" si="5"/>
        <v/>
      </c>
      <c r="G25" s="41" t="str">
        <f t="shared" si="5"/>
        <v/>
      </c>
      <c r="H25" s="41" t="str">
        <f t="shared" si="5"/>
        <v/>
      </c>
      <c r="J25" s="39"/>
    </row>
    <row r="26" spans="1:10" ht="21.95" customHeight="1" x14ac:dyDescent="0.25">
      <c r="A26" s="82"/>
      <c r="B26" s="42"/>
      <c r="C26" s="42"/>
      <c r="D26" s="42"/>
      <c r="E26" s="42"/>
      <c r="F26" s="42"/>
      <c r="G26" s="43"/>
      <c r="H26" s="43"/>
      <c r="J26" s="39"/>
    </row>
    <row r="27" spans="1:10" ht="23.1" customHeight="1" x14ac:dyDescent="0.25">
      <c r="A27" s="83"/>
      <c r="B27" s="44"/>
      <c r="C27" s="44"/>
      <c r="D27" s="44"/>
      <c r="E27" s="44"/>
      <c r="F27" s="44"/>
      <c r="G27" s="45"/>
      <c r="H27" s="45"/>
      <c r="J27" s="46"/>
    </row>
    <row r="28" spans="1:10" ht="15.95" customHeight="1" x14ac:dyDescent="0.25">
      <c r="A28" s="47" t="str">
        <f>"Rot: gesetzlicher Feiertag in "&amp;Bundesland&amp;". Grau: besondere Tage ohne Feiertag. Jahr und Bundesland ändern Sie im Blatt Jahreskalender."</f>
        <v>Rot: gesetzlicher Feiertag in Nordrhein-Westfalen. Grau: besondere Tage ohne Feiertag. Jahr und Bundesland ändern Sie im Blatt Jahreskalender.</v>
      </c>
    </row>
  </sheetData>
  <mergeCells count="6">
    <mergeCell ref="A4:A7"/>
    <mergeCell ref="A8:A11"/>
    <mergeCell ref="A12:A15"/>
    <mergeCell ref="A20:A23"/>
    <mergeCell ref="A24:A27"/>
    <mergeCell ref="A16:A19"/>
  </mergeCells>
  <conditionalFormatting sqref="B4:H7">
    <cfRule type="expression" dxfId="148" priority="1" stopIfTrue="1">
      <formula>B$4=""</formula>
    </cfRule>
    <cfRule type="expression" dxfId="147" priority="2">
      <formula>AND(ISNUMBER(B$4),COUNTIF(Feiertage_aktiv,B$4)&gt;0)</formula>
    </cfRule>
  </conditionalFormatting>
  <conditionalFormatting sqref="B8:H11">
    <cfRule type="expression" dxfId="146" priority="3" stopIfTrue="1">
      <formula>B$8=""</formula>
    </cfRule>
    <cfRule type="expression" dxfId="145" priority="4">
      <formula>AND(ISNUMBER(B$8),COUNTIF(Feiertage_aktiv,B$8)&gt;0)</formula>
    </cfRule>
  </conditionalFormatting>
  <conditionalFormatting sqref="B12:H15">
    <cfRule type="expression" dxfId="144" priority="5" stopIfTrue="1">
      <formula>B$12=""</formula>
    </cfRule>
    <cfRule type="expression" dxfId="143" priority="6">
      <formula>AND(ISNUMBER(B$12),COUNTIF(Feiertage_aktiv,B$12)&gt;0)</formula>
    </cfRule>
  </conditionalFormatting>
  <conditionalFormatting sqref="B16:H19">
    <cfRule type="expression" dxfId="142" priority="7" stopIfTrue="1">
      <formula>B$16=""</formula>
    </cfRule>
    <cfRule type="expression" dxfId="141" priority="8">
      <formula>AND(ISNUMBER(B$16),COUNTIF(Feiertage_aktiv,B$16)&gt;0)</formula>
    </cfRule>
  </conditionalFormatting>
  <conditionalFormatting sqref="B20:H23">
    <cfRule type="expression" dxfId="140" priority="9" stopIfTrue="1">
      <formula>B$20=""</formula>
    </cfRule>
    <cfRule type="expression" dxfId="139" priority="10">
      <formula>AND(ISNUMBER(B$20),COUNTIF(Feiertage_aktiv,B$20)&gt;0)</formula>
    </cfRule>
  </conditionalFormatting>
  <conditionalFormatting sqref="B24:H27">
    <cfRule type="expression" dxfId="138" priority="11" stopIfTrue="1">
      <formula>B$24=""</formula>
    </cfRule>
    <cfRule type="expression" dxfId="137" priority="12">
      <formula>AND(ISNUMBER(B$24),COUNTIF(Feiertage_aktiv,B$24)&gt;0)</formula>
    </cfRule>
  </conditionalFormatting>
  <printOptions horizontalCentered="1"/>
  <pageMargins left="0.4" right="0.4" top="0.45" bottom="0.55000000000000004" header="0.2" footer="0.25"/>
  <pageSetup paperSize="9" orientation="landscape"/>
  <headerFooter>
    <oddFooter>&amp;C&amp;8 &amp;K686E70Vorlage von seminaron.de&amp;R&amp;8 &amp;K686E70&amp;A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8"/>
  <sheetViews>
    <sheetView showGridLines="0" zoomScale="85" workbookViewId="0"/>
  </sheetViews>
  <sheetFormatPr baseColWidth="10" defaultColWidth="9.140625" defaultRowHeight="15" x14ac:dyDescent="0.25"/>
  <cols>
    <col min="1" max="1" width="5.42578125" customWidth="1"/>
    <col min="2" max="8" width="19.42578125" customWidth="1"/>
    <col min="9" max="9" width="1.42578125" customWidth="1"/>
    <col min="10" max="10" width="30" customWidth="1"/>
  </cols>
  <sheetData>
    <row r="1" spans="1:10" ht="36" customHeight="1" x14ac:dyDescent="0.25">
      <c r="A1" s="34" t="str">
        <f>"Februar "&amp;Jahr</f>
        <v>Februar 2027</v>
      </c>
    </row>
    <row r="2" spans="1:10" ht="18" customHeight="1" x14ac:dyDescent="0.25">
      <c r="A2" s="20" t="str">
        <f>"Feiertage: "&amp;Bundesland&amp;" · Arbeitstage Montag bis Freitag: "&amp;NETWORKDAYS(DATE(Jahr,2,1),DATE(Jahr,3,0),Feiertage_aktiv)</f>
        <v>Feiertage: Nordrhein-Westfalen · Arbeitstage Montag bis Freitag: 20</v>
      </c>
    </row>
    <row r="3" spans="1:10" ht="21" customHeight="1" x14ac:dyDescent="0.25">
      <c r="A3" s="35" t="s">
        <v>7</v>
      </c>
      <c r="B3" s="35" t="s">
        <v>56</v>
      </c>
      <c r="C3" s="35" t="s">
        <v>57</v>
      </c>
      <c r="D3" s="35" t="s">
        <v>58</v>
      </c>
      <c r="E3" s="35" t="s">
        <v>59</v>
      </c>
      <c r="F3" s="35" t="s">
        <v>60</v>
      </c>
      <c r="G3" s="36" t="s">
        <v>61</v>
      </c>
      <c r="H3" s="36" t="s">
        <v>62</v>
      </c>
      <c r="J3" s="35" t="s">
        <v>63</v>
      </c>
    </row>
    <row r="4" spans="1:10" ht="24.95" customHeight="1" x14ac:dyDescent="0.25">
      <c r="A4" s="81">
        <f>IF(OR(MONTH((DATE(Jahr,2,1)-WEEKDAY(DATE(Jahr,2,1),2)+1)+0)=2,MONTH((DATE(Jahr,2,1)-WEEKDAY(DATE(Jahr,2,1),2)+1)+0+6)=2),_xlfn.ISOWEEKNUM((DATE(Jahr,2,1)-WEEKDAY(DATE(Jahr,2,1),2)+1)+0),"")</f>
        <v>5</v>
      </c>
      <c r="B4" s="37">
        <f>IF(MONTH((DATE(Jahr,2,1)-WEEKDAY(DATE(Jahr,2,1),2)+1)+0)=2,(DATE(Jahr,2,1)-WEEKDAY(DATE(Jahr,2,1),2)+1)+0,"")</f>
        <v>46419</v>
      </c>
      <c r="C4" s="37">
        <f>IF(MONTH((DATE(Jahr,2,1)-WEEKDAY(DATE(Jahr,2,1),2)+1)+1)=2,(DATE(Jahr,2,1)-WEEKDAY(DATE(Jahr,2,1),2)+1)+1,"")</f>
        <v>46420</v>
      </c>
      <c r="D4" s="37">
        <f>IF(MONTH((DATE(Jahr,2,1)-WEEKDAY(DATE(Jahr,2,1),2)+1)+2)=2,(DATE(Jahr,2,1)-WEEKDAY(DATE(Jahr,2,1),2)+1)+2,"")</f>
        <v>46421</v>
      </c>
      <c r="E4" s="37">
        <f>IF(MONTH((DATE(Jahr,2,1)-WEEKDAY(DATE(Jahr,2,1),2)+1)+3)=2,(DATE(Jahr,2,1)-WEEKDAY(DATE(Jahr,2,1),2)+1)+3,"")</f>
        <v>46422</v>
      </c>
      <c r="F4" s="37">
        <f>IF(MONTH((DATE(Jahr,2,1)-WEEKDAY(DATE(Jahr,2,1),2)+1)+4)=2,(DATE(Jahr,2,1)-WEEKDAY(DATE(Jahr,2,1),2)+1)+4,"")</f>
        <v>46423</v>
      </c>
      <c r="G4" s="38">
        <f>IF(MONTH((DATE(Jahr,2,1)-WEEKDAY(DATE(Jahr,2,1),2)+1)+5)=2,(DATE(Jahr,2,1)-WEEKDAY(DATE(Jahr,2,1),2)+1)+5,"")</f>
        <v>46424</v>
      </c>
      <c r="H4" s="38">
        <f>IF(MONTH((DATE(Jahr,2,1)-WEEKDAY(DATE(Jahr,2,1),2)+1)+6)=2,(DATE(Jahr,2,1)-WEEKDAY(DATE(Jahr,2,1),2)+1)+6,"")</f>
        <v>46425</v>
      </c>
      <c r="J4" s="39"/>
    </row>
    <row r="5" spans="1:10" ht="27.95" customHeight="1" x14ac:dyDescent="0.25">
      <c r="A5" s="82"/>
      <c r="B5" s="40" t="str">
        <f t="shared" ref="B5:H5" si="0">IF(ISNUMBER(B4),IF(IFERROR(INDEX(FT_Name,MATCH(B4,Feiertage_aktiv,0)),"")="",IFERROR(INDEX(BT_Name,MATCH(B4,BT_Datum,0)),""),IF(IFERROR(INDEX(BT_Name,MATCH(B4,BT_Datum,0)),"")="",IFERROR(INDEX(FT_Name,MATCH(B4,Feiertage_aktiv,0)),""),IF(LEFT(IFERROR(INDEX(BT_Name,MATCH(B4,BT_Datum,0)),""),LEN(IFERROR(INDEX(FT_Name,MATCH(B4,Feiertage_aktiv,0)),"")))=IFERROR(INDEX(FT_Name,MATCH(B4,Feiertage_aktiv,0)),""),IFERROR(INDEX(BT_Name,MATCH(B4,BT_Datum,0)),""),IFERROR(INDEX(FT_Name,MATCH(B4,Feiertage_aktiv,0)),"")&amp;" · "&amp;IFERROR(INDEX(BT_Name,MATCH(B4,BT_Datum,0)),"")))),"")</f>
        <v/>
      </c>
      <c r="C5" s="40" t="str">
        <f t="shared" si="0"/>
        <v/>
      </c>
      <c r="D5" s="40" t="str">
        <f t="shared" si="0"/>
        <v/>
      </c>
      <c r="E5" s="40" t="str">
        <f t="shared" si="0"/>
        <v/>
      </c>
      <c r="F5" s="40" t="str">
        <f t="shared" si="0"/>
        <v/>
      </c>
      <c r="G5" s="41" t="str">
        <f t="shared" si="0"/>
        <v/>
      </c>
      <c r="H5" s="41" t="str">
        <f t="shared" si="0"/>
        <v/>
      </c>
      <c r="J5" s="39"/>
    </row>
    <row r="6" spans="1:10" ht="21.95" customHeight="1" x14ac:dyDescent="0.25">
      <c r="A6" s="82"/>
      <c r="B6" s="42"/>
      <c r="C6" s="42"/>
      <c r="D6" s="42"/>
      <c r="E6" s="42"/>
      <c r="F6" s="42"/>
      <c r="G6" s="43"/>
      <c r="H6" s="43"/>
      <c r="J6" s="39"/>
    </row>
    <row r="7" spans="1:10" ht="23.1" customHeight="1" x14ac:dyDescent="0.25">
      <c r="A7" s="83"/>
      <c r="B7" s="44"/>
      <c r="C7" s="44"/>
      <c r="D7" s="44"/>
      <c r="E7" s="44"/>
      <c r="F7" s="44"/>
      <c r="G7" s="45"/>
      <c r="H7" s="45"/>
      <c r="J7" s="46"/>
    </row>
    <row r="8" spans="1:10" ht="24.95" customHeight="1" x14ac:dyDescent="0.25">
      <c r="A8" s="81">
        <f>IF(OR(MONTH((DATE(Jahr,2,1)-WEEKDAY(DATE(Jahr,2,1),2)+1)+7)=2,MONTH((DATE(Jahr,2,1)-WEEKDAY(DATE(Jahr,2,1),2)+1)+7+6)=2),_xlfn.ISOWEEKNUM((DATE(Jahr,2,1)-WEEKDAY(DATE(Jahr,2,1),2)+1)+7),"")</f>
        <v>6</v>
      </c>
      <c r="B8" s="37">
        <f>IF(MONTH((DATE(Jahr,2,1)-WEEKDAY(DATE(Jahr,2,1),2)+1)+7)=2,(DATE(Jahr,2,1)-WEEKDAY(DATE(Jahr,2,1),2)+1)+7,"")</f>
        <v>46426</v>
      </c>
      <c r="C8" s="37">
        <f>IF(MONTH((DATE(Jahr,2,1)-WEEKDAY(DATE(Jahr,2,1),2)+1)+8)=2,(DATE(Jahr,2,1)-WEEKDAY(DATE(Jahr,2,1),2)+1)+8,"")</f>
        <v>46427</v>
      </c>
      <c r="D8" s="37">
        <f>IF(MONTH((DATE(Jahr,2,1)-WEEKDAY(DATE(Jahr,2,1),2)+1)+9)=2,(DATE(Jahr,2,1)-WEEKDAY(DATE(Jahr,2,1),2)+1)+9,"")</f>
        <v>46428</v>
      </c>
      <c r="E8" s="37">
        <f>IF(MONTH((DATE(Jahr,2,1)-WEEKDAY(DATE(Jahr,2,1),2)+1)+10)=2,(DATE(Jahr,2,1)-WEEKDAY(DATE(Jahr,2,1),2)+1)+10,"")</f>
        <v>46429</v>
      </c>
      <c r="F8" s="37">
        <f>IF(MONTH((DATE(Jahr,2,1)-WEEKDAY(DATE(Jahr,2,1),2)+1)+11)=2,(DATE(Jahr,2,1)-WEEKDAY(DATE(Jahr,2,1),2)+1)+11,"")</f>
        <v>46430</v>
      </c>
      <c r="G8" s="38">
        <f>IF(MONTH((DATE(Jahr,2,1)-WEEKDAY(DATE(Jahr,2,1),2)+1)+12)=2,(DATE(Jahr,2,1)-WEEKDAY(DATE(Jahr,2,1),2)+1)+12,"")</f>
        <v>46431</v>
      </c>
      <c r="H8" s="38">
        <f>IF(MONTH((DATE(Jahr,2,1)-WEEKDAY(DATE(Jahr,2,1),2)+1)+13)=2,(DATE(Jahr,2,1)-WEEKDAY(DATE(Jahr,2,1),2)+1)+13,"")</f>
        <v>46432</v>
      </c>
      <c r="J8" s="39"/>
    </row>
    <row r="9" spans="1:10" ht="27.95" customHeight="1" x14ac:dyDescent="0.25">
      <c r="A9" s="82"/>
      <c r="B9" s="40" t="str">
        <f t="shared" ref="B9:H9" si="1">IF(ISNUMBER(B8),IF(IFERROR(INDEX(FT_Name,MATCH(B8,Feiertage_aktiv,0)),"")="",IFERROR(INDEX(BT_Name,MATCH(B8,BT_Datum,0)),""),IF(IFERROR(INDEX(BT_Name,MATCH(B8,BT_Datum,0)),"")="",IFERROR(INDEX(FT_Name,MATCH(B8,Feiertage_aktiv,0)),""),IF(LEFT(IFERROR(INDEX(BT_Name,MATCH(B8,BT_Datum,0)),""),LEN(IFERROR(INDEX(FT_Name,MATCH(B8,Feiertage_aktiv,0)),"")))=IFERROR(INDEX(FT_Name,MATCH(B8,Feiertage_aktiv,0)),""),IFERROR(INDEX(BT_Name,MATCH(B8,BT_Datum,0)),""),IFERROR(INDEX(FT_Name,MATCH(B8,Feiertage_aktiv,0)),"")&amp;" · "&amp;IFERROR(INDEX(BT_Name,MATCH(B8,BT_Datum,0)),"")))),"")</f>
        <v>Rosenmontag</v>
      </c>
      <c r="C9" s="40" t="str">
        <f t="shared" si="1"/>
        <v/>
      </c>
      <c r="D9" s="40" t="str">
        <f t="shared" si="1"/>
        <v/>
      </c>
      <c r="E9" s="40" t="str">
        <f t="shared" si="1"/>
        <v/>
      </c>
      <c r="F9" s="40" t="str">
        <f t="shared" si="1"/>
        <v/>
      </c>
      <c r="G9" s="41" t="str">
        <f t="shared" si="1"/>
        <v/>
      </c>
      <c r="H9" s="41" t="str">
        <f t="shared" si="1"/>
        <v/>
      </c>
      <c r="J9" s="39"/>
    </row>
    <row r="10" spans="1:10" ht="21.95" customHeight="1" x14ac:dyDescent="0.25">
      <c r="A10" s="82"/>
      <c r="B10" s="42"/>
      <c r="C10" s="42"/>
      <c r="D10" s="42"/>
      <c r="E10" s="42"/>
      <c r="F10" s="42"/>
      <c r="G10" s="43"/>
      <c r="H10" s="43"/>
      <c r="J10" s="39"/>
    </row>
    <row r="11" spans="1:10" ht="23.1" customHeight="1" x14ac:dyDescent="0.25">
      <c r="A11" s="83"/>
      <c r="B11" s="44"/>
      <c r="C11" s="44"/>
      <c r="D11" s="44"/>
      <c r="E11" s="44"/>
      <c r="F11" s="44"/>
      <c r="G11" s="45"/>
      <c r="H11" s="45"/>
      <c r="J11" s="46"/>
    </row>
    <row r="12" spans="1:10" ht="24.95" customHeight="1" x14ac:dyDescent="0.25">
      <c r="A12" s="81">
        <f>IF(OR(MONTH((DATE(Jahr,2,1)-WEEKDAY(DATE(Jahr,2,1),2)+1)+14)=2,MONTH((DATE(Jahr,2,1)-WEEKDAY(DATE(Jahr,2,1),2)+1)+14+6)=2),_xlfn.ISOWEEKNUM((DATE(Jahr,2,1)-WEEKDAY(DATE(Jahr,2,1),2)+1)+14),"")</f>
        <v>7</v>
      </c>
      <c r="B12" s="37">
        <f>IF(MONTH((DATE(Jahr,2,1)-WEEKDAY(DATE(Jahr,2,1),2)+1)+14)=2,(DATE(Jahr,2,1)-WEEKDAY(DATE(Jahr,2,1),2)+1)+14,"")</f>
        <v>46433</v>
      </c>
      <c r="C12" s="37">
        <f>IF(MONTH((DATE(Jahr,2,1)-WEEKDAY(DATE(Jahr,2,1),2)+1)+15)=2,(DATE(Jahr,2,1)-WEEKDAY(DATE(Jahr,2,1),2)+1)+15,"")</f>
        <v>46434</v>
      </c>
      <c r="D12" s="37">
        <f>IF(MONTH((DATE(Jahr,2,1)-WEEKDAY(DATE(Jahr,2,1),2)+1)+16)=2,(DATE(Jahr,2,1)-WEEKDAY(DATE(Jahr,2,1),2)+1)+16,"")</f>
        <v>46435</v>
      </c>
      <c r="E12" s="37">
        <f>IF(MONTH((DATE(Jahr,2,1)-WEEKDAY(DATE(Jahr,2,1),2)+1)+17)=2,(DATE(Jahr,2,1)-WEEKDAY(DATE(Jahr,2,1),2)+1)+17,"")</f>
        <v>46436</v>
      </c>
      <c r="F12" s="37">
        <f>IF(MONTH((DATE(Jahr,2,1)-WEEKDAY(DATE(Jahr,2,1),2)+1)+18)=2,(DATE(Jahr,2,1)-WEEKDAY(DATE(Jahr,2,1),2)+1)+18,"")</f>
        <v>46437</v>
      </c>
      <c r="G12" s="38">
        <f>IF(MONTH((DATE(Jahr,2,1)-WEEKDAY(DATE(Jahr,2,1),2)+1)+19)=2,(DATE(Jahr,2,1)-WEEKDAY(DATE(Jahr,2,1),2)+1)+19,"")</f>
        <v>46438</v>
      </c>
      <c r="H12" s="38">
        <f>IF(MONTH((DATE(Jahr,2,1)-WEEKDAY(DATE(Jahr,2,1),2)+1)+20)=2,(DATE(Jahr,2,1)-WEEKDAY(DATE(Jahr,2,1),2)+1)+20,"")</f>
        <v>46439</v>
      </c>
      <c r="J12" s="39"/>
    </row>
    <row r="13" spans="1:10" ht="27.95" customHeight="1" x14ac:dyDescent="0.25">
      <c r="A13" s="82"/>
      <c r="B13" s="40" t="str">
        <f t="shared" ref="B13:H13" si="2">IF(ISNUMBER(B12),IF(IFERROR(INDEX(FT_Name,MATCH(B12,Feiertage_aktiv,0)),"")="",IFERROR(INDEX(BT_Name,MATCH(B12,BT_Datum,0)),""),IF(IFERROR(INDEX(BT_Name,MATCH(B12,BT_Datum,0)),"")="",IFERROR(INDEX(FT_Name,MATCH(B12,Feiertage_aktiv,0)),""),IF(LEFT(IFERROR(INDEX(BT_Name,MATCH(B12,BT_Datum,0)),""),LEN(IFERROR(INDEX(FT_Name,MATCH(B12,Feiertage_aktiv,0)),"")))=IFERROR(INDEX(FT_Name,MATCH(B12,Feiertage_aktiv,0)),""),IFERROR(INDEX(BT_Name,MATCH(B12,BT_Datum,0)),""),IFERROR(INDEX(FT_Name,MATCH(B12,Feiertage_aktiv,0)),"")&amp;" · "&amp;IFERROR(INDEX(BT_Name,MATCH(B12,BT_Datum,0)),"")))),"")</f>
        <v/>
      </c>
      <c r="C13" s="40" t="str">
        <f t="shared" si="2"/>
        <v/>
      </c>
      <c r="D13" s="40" t="str">
        <f t="shared" si="2"/>
        <v/>
      </c>
      <c r="E13" s="40" t="str">
        <f t="shared" si="2"/>
        <v/>
      </c>
      <c r="F13" s="40" t="str">
        <f t="shared" si="2"/>
        <v/>
      </c>
      <c r="G13" s="41" t="str">
        <f t="shared" si="2"/>
        <v/>
      </c>
      <c r="H13" s="41" t="str">
        <f t="shared" si="2"/>
        <v/>
      </c>
      <c r="J13" s="39"/>
    </row>
    <row r="14" spans="1:10" ht="21.95" customHeight="1" x14ac:dyDescent="0.25">
      <c r="A14" s="82"/>
      <c r="B14" s="42"/>
      <c r="C14" s="42"/>
      <c r="D14" s="42"/>
      <c r="E14" s="42"/>
      <c r="F14" s="42"/>
      <c r="G14" s="43"/>
      <c r="H14" s="43"/>
      <c r="J14" s="39"/>
    </row>
    <row r="15" spans="1:10" ht="23.1" customHeight="1" x14ac:dyDescent="0.25">
      <c r="A15" s="83"/>
      <c r="B15" s="44"/>
      <c r="C15" s="44"/>
      <c r="D15" s="44"/>
      <c r="E15" s="44"/>
      <c r="F15" s="44"/>
      <c r="G15" s="45"/>
      <c r="H15" s="45"/>
      <c r="J15" s="46"/>
    </row>
    <row r="16" spans="1:10" ht="24.95" customHeight="1" x14ac:dyDescent="0.25">
      <c r="A16" s="81">
        <f>IF(OR(MONTH((DATE(Jahr,2,1)-WEEKDAY(DATE(Jahr,2,1),2)+1)+21)=2,MONTH((DATE(Jahr,2,1)-WEEKDAY(DATE(Jahr,2,1),2)+1)+21+6)=2),_xlfn.ISOWEEKNUM((DATE(Jahr,2,1)-WEEKDAY(DATE(Jahr,2,1),2)+1)+21),"")</f>
        <v>8</v>
      </c>
      <c r="B16" s="37">
        <f>IF(MONTH((DATE(Jahr,2,1)-WEEKDAY(DATE(Jahr,2,1),2)+1)+21)=2,(DATE(Jahr,2,1)-WEEKDAY(DATE(Jahr,2,1),2)+1)+21,"")</f>
        <v>46440</v>
      </c>
      <c r="C16" s="37">
        <f>IF(MONTH((DATE(Jahr,2,1)-WEEKDAY(DATE(Jahr,2,1),2)+1)+22)=2,(DATE(Jahr,2,1)-WEEKDAY(DATE(Jahr,2,1),2)+1)+22,"")</f>
        <v>46441</v>
      </c>
      <c r="D16" s="37">
        <f>IF(MONTH((DATE(Jahr,2,1)-WEEKDAY(DATE(Jahr,2,1),2)+1)+23)=2,(DATE(Jahr,2,1)-WEEKDAY(DATE(Jahr,2,1),2)+1)+23,"")</f>
        <v>46442</v>
      </c>
      <c r="E16" s="37">
        <f>IF(MONTH((DATE(Jahr,2,1)-WEEKDAY(DATE(Jahr,2,1),2)+1)+24)=2,(DATE(Jahr,2,1)-WEEKDAY(DATE(Jahr,2,1),2)+1)+24,"")</f>
        <v>46443</v>
      </c>
      <c r="F16" s="37">
        <f>IF(MONTH((DATE(Jahr,2,1)-WEEKDAY(DATE(Jahr,2,1),2)+1)+25)=2,(DATE(Jahr,2,1)-WEEKDAY(DATE(Jahr,2,1),2)+1)+25,"")</f>
        <v>46444</v>
      </c>
      <c r="G16" s="38">
        <f>IF(MONTH((DATE(Jahr,2,1)-WEEKDAY(DATE(Jahr,2,1),2)+1)+26)=2,(DATE(Jahr,2,1)-WEEKDAY(DATE(Jahr,2,1),2)+1)+26,"")</f>
        <v>46445</v>
      </c>
      <c r="H16" s="38">
        <f>IF(MONTH((DATE(Jahr,2,1)-WEEKDAY(DATE(Jahr,2,1),2)+1)+27)=2,(DATE(Jahr,2,1)-WEEKDAY(DATE(Jahr,2,1),2)+1)+27,"")</f>
        <v>46446</v>
      </c>
      <c r="J16" s="39"/>
    </row>
    <row r="17" spans="1:10" ht="27.95" customHeight="1" x14ac:dyDescent="0.25">
      <c r="A17" s="82"/>
      <c r="B17" s="40" t="str">
        <f t="shared" ref="B17:H17" si="3">IF(ISNUMBER(B16),IF(IFERROR(INDEX(FT_Name,MATCH(B16,Feiertage_aktiv,0)),"")="",IFERROR(INDEX(BT_Name,MATCH(B16,BT_Datum,0)),""),IF(IFERROR(INDEX(BT_Name,MATCH(B16,BT_Datum,0)),"")="",IFERROR(INDEX(FT_Name,MATCH(B16,Feiertage_aktiv,0)),""),IF(LEFT(IFERROR(INDEX(BT_Name,MATCH(B16,BT_Datum,0)),""),LEN(IFERROR(INDEX(FT_Name,MATCH(B16,Feiertage_aktiv,0)),"")))=IFERROR(INDEX(FT_Name,MATCH(B16,Feiertage_aktiv,0)),""),IFERROR(INDEX(BT_Name,MATCH(B16,BT_Datum,0)),""),IFERROR(INDEX(FT_Name,MATCH(B16,Feiertage_aktiv,0)),"")&amp;" · "&amp;IFERROR(INDEX(BT_Name,MATCH(B16,BT_Datum,0)),"")))),"")</f>
        <v/>
      </c>
      <c r="C17" s="40" t="str">
        <f t="shared" si="3"/>
        <v/>
      </c>
      <c r="D17" s="40" t="str">
        <f t="shared" si="3"/>
        <v/>
      </c>
      <c r="E17" s="40" t="str">
        <f t="shared" si="3"/>
        <v/>
      </c>
      <c r="F17" s="40" t="str">
        <f t="shared" si="3"/>
        <v/>
      </c>
      <c r="G17" s="41" t="str">
        <f t="shared" si="3"/>
        <v/>
      </c>
      <c r="H17" s="41" t="str">
        <f t="shared" si="3"/>
        <v/>
      </c>
      <c r="J17" s="39"/>
    </row>
    <row r="18" spans="1:10" ht="21.95" customHeight="1" x14ac:dyDescent="0.25">
      <c r="A18" s="82"/>
      <c r="B18" s="42"/>
      <c r="C18" s="42"/>
      <c r="D18" s="42"/>
      <c r="E18" s="42"/>
      <c r="F18" s="42"/>
      <c r="G18" s="43"/>
      <c r="H18" s="43"/>
      <c r="J18" s="39"/>
    </row>
    <row r="19" spans="1:10" ht="23.1" customHeight="1" x14ac:dyDescent="0.25">
      <c r="A19" s="83"/>
      <c r="B19" s="44"/>
      <c r="C19" s="44"/>
      <c r="D19" s="44"/>
      <c r="E19" s="44"/>
      <c r="F19" s="44"/>
      <c r="G19" s="45"/>
      <c r="H19" s="45"/>
      <c r="J19" s="46"/>
    </row>
    <row r="20" spans="1:10" ht="24.95" customHeight="1" x14ac:dyDescent="0.25">
      <c r="A20" s="81" t="str">
        <f>IF(OR(MONTH((DATE(Jahr,2,1)-WEEKDAY(DATE(Jahr,2,1),2)+1)+28)=2,MONTH((DATE(Jahr,2,1)-WEEKDAY(DATE(Jahr,2,1),2)+1)+28+6)=2),_xlfn.ISOWEEKNUM((DATE(Jahr,2,1)-WEEKDAY(DATE(Jahr,2,1),2)+1)+28),"")</f>
        <v/>
      </c>
      <c r="B20" s="37" t="str">
        <f>IF(MONTH((DATE(Jahr,2,1)-WEEKDAY(DATE(Jahr,2,1),2)+1)+28)=2,(DATE(Jahr,2,1)-WEEKDAY(DATE(Jahr,2,1),2)+1)+28,"")</f>
        <v/>
      </c>
      <c r="C20" s="37" t="str">
        <f>IF(MONTH((DATE(Jahr,2,1)-WEEKDAY(DATE(Jahr,2,1),2)+1)+29)=2,(DATE(Jahr,2,1)-WEEKDAY(DATE(Jahr,2,1),2)+1)+29,"")</f>
        <v/>
      </c>
      <c r="D20" s="37" t="str">
        <f>IF(MONTH((DATE(Jahr,2,1)-WEEKDAY(DATE(Jahr,2,1),2)+1)+30)=2,(DATE(Jahr,2,1)-WEEKDAY(DATE(Jahr,2,1),2)+1)+30,"")</f>
        <v/>
      </c>
      <c r="E20" s="37" t="str">
        <f>IF(MONTH((DATE(Jahr,2,1)-WEEKDAY(DATE(Jahr,2,1),2)+1)+31)=2,(DATE(Jahr,2,1)-WEEKDAY(DATE(Jahr,2,1),2)+1)+31,"")</f>
        <v/>
      </c>
      <c r="F20" s="37" t="str">
        <f>IF(MONTH((DATE(Jahr,2,1)-WEEKDAY(DATE(Jahr,2,1),2)+1)+32)=2,(DATE(Jahr,2,1)-WEEKDAY(DATE(Jahr,2,1),2)+1)+32,"")</f>
        <v/>
      </c>
      <c r="G20" s="38" t="str">
        <f>IF(MONTH((DATE(Jahr,2,1)-WEEKDAY(DATE(Jahr,2,1),2)+1)+33)=2,(DATE(Jahr,2,1)-WEEKDAY(DATE(Jahr,2,1),2)+1)+33,"")</f>
        <v/>
      </c>
      <c r="H20" s="38" t="str">
        <f>IF(MONTH((DATE(Jahr,2,1)-WEEKDAY(DATE(Jahr,2,1),2)+1)+34)=2,(DATE(Jahr,2,1)-WEEKDAY(DATE(Jahr,2,1),2)+1)+34,"")</f>
        <v/>
      </c>
      <c r="J20" s="39"/>
    </row>
    <row r="21" spans="1:10" ht="27.95" customHeight="1" x14ac:dyDescent="0.25">
      <c r="A21" s="82"/>
      <c r="B21" s="40" t="str">
        <f t="shared" ref="B21:H21" si="4">IF(ISNUMBER(B20),IF(IFERROR(INDEX(FT_Name,MATCH(B20,Feiertage_aktiv,0)),"")="",IFERROR(INDEX(BT_Name,MATCH(B20,BT_Datum,0)),""),IF(IFERROR(INDEX(BT_Name,MATCH(B20,BT_Datum,0)),"")="",IFERROR(INDEX(FT_Name,MATCH(B20,Feiertage_aktiv,0)),""),IF(LEFT(IFERROR(INDEX(BT_Name,MATCH(B20,BT_Datum,0)),""),LEN(IFERROR(INDEX(FT_Name,MATCH(B20,Feiertage_aktiv,0)),"")))=IFERROR(INDEX(FT_Name,MATCH(B20,Feiertage_aktiv,0)),""),IFERROR(INDEX(BT_Name,MATCH(B20,BT_Datum,0)),""),IFERROR(INDEX(FT_Name,MATCH(B20,Feiertage_aktiv,0)),"")&amp;" · "&amp;IFERROR(INDEX(BT_Name,MATCH(B20,BT_Datum,0)),"")))),"")</f>
        <v/>
      </c>
      <c r="C21" s="40" t="str">
        <f t="shared" si="4"/>
        <v/>
      </c>
      <c r="D21" s="40" t="str">
        <f t="shared" si="4"/>
        <v/>
      </c>
      <c r="E21" s="40" t="str">
        <f t="shared" si="4"/>
        <v/>
      </c>
      <c r="F21" s="40" t="str">
        <f t="shared" si="4"/>
        <v/>
      </c>
      <c r="G21" s="41" t="str">
        <f t="shared" si="4"/>
        <v/>
      </c>
      <c r="H21" s="41" t="str">
        <f t="shared" si="4"/>
        <v/>
      </c>
      <c r="J21" s="39"/>
    </row>
    <row r="22" spans="1:10" ht="21.95" customHeight="1" x14ac:dyDescent="0.25">
      <c r="A22" s="82"/>
      <c r="B22" s="42"/>
      <c r="C22" s="42"/>
      <c r="D22" s="42"/>
      <c r="E22" s="42"/>
      <c r="F22" s="42"/>
      <c r="G22" s="43"/>
      <c r="H22" s="43"/>
      <c r="J22" s="39"/>
    </row>
    <row r="23" spans="1:10" ht="23.1" customHeight="1" x14ac:dyDescent="0.25">
      <c r="A23" s="83"/>
      <c r="B23" s="44"/>
      <c r="C23" s="44"/>
      <c r="D23" s="44"/>
      <c r="E23" s="44"/>
      <c r="F23" s="44"/>
      <c r="G23" s="45"/>
      <c r="H23" s="45"/>
      <c r="J23" s="46"/>
    </row>
    <row r="24" spans="1:10" ht="24.95" customHeight="1" x14ac:dyDescent="0.25">
      <c r="A24" s="81" t="str">
        <f>IF(OR(MONTH((DATE(Jahr,2,1)-WEEKDAY(DATE(Jahr,2,1),2)+1)+35)=2,MONTH((DATE(Jahr,2,1)-WEEKDAY(DATE(Jahr,2,1),2)+1)+35+6)=2),_xlfn.ISOWEEKNUM((DATE(Jahr,2,1)-WEEKDAY(DATE(Jahr,2,1),2)+1)+35),"")</f>
        <v/>
      </c>
      <c r="B24" s="37" t="str">
        <f>IF(MONTH((DATE(Jahr,2,1)-WEEKDAY(DATE(Jahr,2,1),2)+1)+35)=2,(DATE(Jahr,2,1)-WEEKDAY(DATE(Jahr,2,1),2)+1)+35,"")</f>
        <v/>
      </c>
      <c r="C24" s="37" t="str">
        <f>IF(MONTH((DATE(Jahr,2,1)-WEEKDAY(DATE(Jahr,2,1),2)+1)+36)=2,(DATE(Jahr,2,1)-WEEKDAY(DATE(Jahr,2,1),2)+1)+36,"")</f>
        <v/>
      </c>
      <c r="D24" s="37" t="str">
        <f>IF(MONTH((DATE(Jahr,2,1)-WEEKDAY(DATE(Jahr,2,1),2)+1)+37)=2,(DATE(Jahr,2,1)-WEEKDAY(DATE(Jahr,2,1),2)+1)+37,"")</f>
        <v/>
      </c>
      <c r="E24" s="37" t="str">
        <f>IF(MONTH((DATE(Jahr,2,1)-WEEKDAY(DATE(Jahr,2,1),2)+1)+38)=2,(DATE(Jahr,2,1)-WEEKDAY(DATE(Jahr,2,1),2)+1)+38,"")</f>
        <v/>
      </c>
      <c r="F24" s="37" t="str">
        <f>IF(MONTH((DATE(Jahr,2,1)-WEEKDAY(DATE(Jahr,2,1),2)+1)+39)=2,(DATE(Jahr,2,1)-WEEKDAY(DATE(Jahr,2,1),2)+1)+39,"")</f>
        <v/>
      </c>
      <c r="G24" s="38" t="str">
        <f>IF(MONTH((DATE(Jahr,2,1)-WEEKDAY(DATE(Jahr,2,1),2)+1)+40)=2,(DATE(Jahr,2,1)-WEEKDAY(DATE(Jahr,2,1),2)+1)+40,"")</f>
        <v/>
      </c>
      <c r="H24" s="38" t="str">
        <f>IF(MONTH((DATE(Jahr,2,1)-WEEKDAY(DATE(Jahr,2,1),2)+1)+41)=2,(DATE(Jahr,2,1)-WEEKDAY(DATE(Jahr,2,1),2)+1)+41,"")</f>
        <v/>
      </c>
      <c r="J24" s="39"/>
    </row>
    <row r="25" spans="1:10" ht="27.95" customHeight="1" x14ac:dyDescent="0.25">
      <c r="A25" s="82"/>
      <c r="B25" s="40" t="str">
        <f t="shared" ref="B25:H25" si="5">IF(ISNUMBER(B24),IF(IFERROR(INDEX(FT_Name,MATCH(B24,Feiertage_aktiv,0)),"")="",IFERROR(INDEX(BT_Name,MATCH(B24,BT_Datum,0)),""),IF(IFERROR(INDEX(BT_Name,MATCH(B24,BT_Datum,0)),"")="",IFERROR(INDEX(FT_Name,MATCH(B24,Feiertage_aktiv,0)),""),IF(LEFT(IFERROR(INDEX(BT_Name,MATCH(B24,BT_Datum,0)),""),LEN(IFERROR(INDEX(FT_Name,MATCH(B24,Feiertage_aktiv,0)),"")))=IFERROR(INDEX(FT_Name,MATCH(B24,Feiertage_aktiv,0)),""),IFERROR(INDEX(BT_Name,MATCH(B24,BT_Datum,0)),""),IFERROR(INDEX(FT_Name,MATCH(B24,Feiertage_aktiv,0)),"")&amp;" · "&amp;IFERROR(INDEX(BT_Name,MATCH(B24,BT_Datum,0)),"")))),"")</f>
        <v/>
      </c>
      <c r="C25" s="40" t="str">
        <f t="shared" si="5"/>
        <v/>
      </c>
      <c r="D25" s="40" t="str">
        <f t="shared" si="5"/>
        <v/>
      </c>
      <c r="E25" s="40" t="str">
        <f t="shared" si="5"/>
        <v/>
      </c>
      <c r="F25" s="40" t="str">
        <f t="shared" si="5"/>
        <v/>
      </c>
      <c r="G25" s="41" t="str">
        <f t="shared" si="5"/>
        <v/>
      </c>
      <c r="H25" s="41" t="str">
        <f t="shared" si="5"/>
        <v/>
      </c>
      <c r="J25" s="39"/>
    </row>
    <row r="26" spans="1:10" ht="21.95" customHeight="1" x14ac:dyDescent="0.25">
      <c r="A26" s="82"/>
      <c r="B26" s="42"/>
      <c r="C26" s="42"/>
      <c r="D26" s="42"/>
      <c r="E26" s="42"/>
      <c r="F26" s="42"/>
      <c r="G26" s="43"/>
      <c r="H26" s="43"/>
      <c r="J26" s="39"/>
    </row>
    <row r="27" spans="1:10" ht="23.1" customHeight="1" x14ac:dyDescent="0.25">
      <c r="A27" s="83"/>
      <c r="B27" s="44"/>
      <c r="C27" s="44"/>
      <c r="D27" s="44"/>
      <c r="E27" s="44"/>
      <c r="F27" s="44"/>
      <c r="G27" s="45"/>
      <c r="H27" s="45"/>
      <c r="J27" s="46"/>
    </row>
    <row r="28" spans="1:10" ht="15.95" customHeight="1" x14ac:dyDescent="0.25">
      <c r="A28" s="47" t="str">
        <f>"Rot: gesetzlicher Feiertag in "&amp;Bundesland&amp;". Grau: besondere Tage ohne Feiertag. Jahr und Bundesland ändern Sie im Blatt Jahreskalender."</f>
        <v>Rot: gesetzlicher Feiertag in Nordrhein-Westfalen. Grau: besondere Tage ohne Feiertag. Jahr und Bundesland ändern Sie im Blatt Jahreskalender.</v>
      </c>
    </row>
  </sheetData>
  <mergeCells count="6">
    <mergeCell ref="A4:A7"/>
    <mergeCell ref="A8:A11"/>
    <mergeCell ref="A12:A15"/>
    <mergeCell ref="A20:A23"/>
    <mergeCell ref="A24:A27"/>
    <mergeCell ref="A16:A19"/>
  </mergeCells>
  <conditionalFormatting sqref="B4:H7">
    <cfRule type="expression" dxfId="136" priority="1" stopIfTrue="1">
      <formula>B$4=""</formula>
    </cfRule>
    <cfRule type="expression" dxfId="135" priority="2">
      <formula>AND(ISNUMBER(B$4),COUNTIF(Feiertage_aktiv,B$4)&gt;0)</formula>
    </cfRule>
  </conditionalFormatting>
  <conditionalFormatting sqref="B8:H11">
    <cfRule type="expression" dxfId="134" priority="3" stopIfTrue="1">
      <formula>B$8=""</formula>
    </cfRule>
    <cfRule type="expression" dxfId="133" priority="4">
      <formula>AND(ISNUMBER(B$8),COUNTIF(Feiertage_aktiv,B$8)&gt;0)</formula>
    </cfRule>
  </conditionalFormatting>
  <conditionalFormatting sqref="B12:H15">
    <cfRule type="expression" dxfId="132" priority="5" stopIfTrue="1">
      <formula>B$12=""</formula>
    </cfRule>
    <cfRule type="expression" dxfId="131" priority="6">
      <formula>AND(ISNUMBER(B$12),COUNTIF(Feiertage_aktiv,B$12)&gt;0)</formula>
    </cfRule>
  </conditionalFormatting>
  <conditionalFormatting sqref="B16:H19">
    <cfRule type="expression" dxfId="130" priority="7" stopIfTrue="1">
      <formula>B$16=""</formula>
    </cfRule>
    <cfRule type="expression" dxfId="129" priority="8">
      <formula>AND(ISNUMBER(B$16),COUNTIF(Feiertage_aktiv,B$16)&gt;0)</formula>
    </cfRule>
  </conditionalFormatting>
  <conditionalFormatting sqref="B20:H23">
    <cfRule type="expression" dxfId="128" priority="9" stopIfTrue="1">
      <formula>B$20=""</formula>
    </cfRule>
    <cfRule type="expression" dxfId="127" priority="10">
      <formula>AND(ISNUMBER(B$20),COUNTIF(Feiertage_aktiv,B$20)&gt;0)</formula>
    </cfRule>
  </conditionalFormatting>
  <conditionalFormatting sqref="B24:H27">
    <cfRule type="expression" dxfId="126" priority="11" stopIfTrue="1">
      <formula>B$24=""</formula>
    </cfRule>
    <cfRule type="expression" dxfId="125" priority="12">
      <formula>AND(ISNUMBER(B$24),COUNTIF(Feiertage_aktiv,B$24)&gt;0)</formula>
    </cfRule>
  </conditionalFormatting>
  <printOptions horizontalCentered="1"/>
  <pageMargins left="0.4" right="0.4" top="0.45" bottom="0.55000000000000004" header="0.2" footer="0.25"/>
  <pageSetup paperSize="9" orientation="landscape"/>
  <headerFooter>
    <oddFooter>&amp;C&amp;8 &amp;K686E70Vorlage von seminaron.de&amp;R&amp;8 &amp;K686E70&amp;A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8"/>
  <sheetViews>
    <sheetView showGridLines="0" zoomScale="85" workbookViewId="0"/>
  </sheetViews>
  <sheetFormatPr baseColWidth="10" defaultColWidth="9.140625" defaultRowHeight="15" x14ac:dyDescent="0.25"/>
  <cols>
    <col min="1" max="1" width="5.42578125" customWidth="1"/>
    <col min="2" max="8" width="19.42578125" customWidth="1"/>
    <col min="9" max="9" width="1.42578125" customWidth="1"/>
    <col min="10" max="10" width="30" customWidth="1"/>
  </cols>
  <sheetData>
    <row r="1" spans="1:10" ht="36" customHeight="1" x14ac:dyDescent="0.25">
      <c r="A1" s="34" t="str">
        <f>"März "&amp;Jahr</f>
        <v>März 2027</v>
      </c>
    </row>
    <row r="2" spans="1:10" ht="18" customHeight="1" x14ac:dyDescent="0.25">
      <c r="A2" s="20" t="str">
        <f>"Feiertage: "&amp;Bundesland&amp;" · Arbeitstage Montag bis Freitag: "&amp;NETWORKDAYS(DATE(Jahr,3,1),DATE(Jahr,4,0),Feiertage_aktiv)</f>
        <v>Feiertage: Nordrhein-Westfalen · Arbeitstage Montag bis Freitag: 21</v>
      </c>
    </row>
    <row r="3" spans="1:10" ht="21" customHeight="1" x14ac:dyDescent="0.25">
      <c r="A3" s="35" t="s">
        <v>7</v>
      </c>
      <c r="B3" s="35" t="s">
        <v>56</v>
      </c>
      <c r="C3" s="35" t="s">
        <v>57</v>
      </c>
      <c r="D3" s="35" t="s">
        <v>58</v>
      </c>
      <c r="E3" s="35" t="s">
        <v>59</v>
      </c>
      <c r="F3" s="35" t="s">
        <v>60</v>
      </c>
      <c r="G3" s="36" t="s">
        <v>61</v>
      </c>
      <c r="H3" s="36" t="s">
        <v>62</v>
      </c>
      <c r="J3" s="35" t="s">
        <v>63</v>
      </c>
    </row>
    <row r="4" spans="1:10" ht="24.95" customHeight="1" x14ac:dyDescent="0.25">
      <c r="A4" s="81">
        <f>IF(OR(MONTH((DATE(Jahr,3,1)-WEEKDAY(DATE(Jahr,3,1),2)+1)+0)=3,MONTH((DATE(Jahr,3,1)-WEEKDAY(DATE(Jahr,3,1),2)+1)+0+6)=3),_xlfn.ISOWEEKNUM((DATE(Jahr,3,1)-WEEKDAY(DATE(Jahr,3,1),2)+1)+0),"")</f>
        <v>9</v>
      </c>
      <c r="B4" s="37">
        <f>IF(MONTH((DATE(Jahr,3,1)-WEEKDAY(DATE(Jahr,3,1),2)+1)+0)=3,(DATE(Jahr,3,1)-WEEKDAY(DATE(Jahr,3,1),2)+1)+0,"")</f>
        <v>46447</v>
      </c>
      <c r="C4" s="37">
        <f>IF(MONTH((DATE(Jahr,3,1)-WEEKDAY(DATE(Jahr,3,1),2)+1)+1)=3,(DATE(Jahr,3,1)-WEEKDAY(DATE(Jahr,3,1),2)+1)+1,"")</f>
        <v>46448</v>
      </c>
      <c r="D4" s="37">
        <f>IF(MONTH((DATE(Jahr,3,1)-WEEKDAY(DATE(Jahr,3,1),2)+1)+2)=3,(DATE(Jahr,3,1)-WEEKDAY(DATE(Jahr,3,1),2)+1)+2,"")</f>
        <v>46449</v>
      </c>
      <c r="E4" s="37">
        <f>IF(MONTH((DATE(Jahr,3,1)-WEEKDAY(DATE(Jahr,3,1),2)+1)+3)=3,(DATE(Jahr,3,1)-WEEKDAY(DATE(Jahr,3,1),2)+1)+3,"")</f>
        <v>46450</v>
      </c>
      <c r="F4" s="37">
        <f>IF(MONTH((DATE(Jahr,3,1)-WEEKDAY(DATE(Jahr,3,1),2)+1)+4)=3,(DATE(Jahr,3,1)-WEEKDAY(DATE(Jahr,3,1),2)+1)+4,"")</f>
        <v>46451</v>
      </c>
      <c r="G4" s="38">
        <f>IF(MONTH((DATE(Jahr,3,1)-WEEKDAY(DATE(Jahr,3,1),2)+1)+5)=3,(DATE(Jahr,3,1)-WEEKDAY(DATE(Jahr,3,1),2)+1)+5,"")</f>
        <v>46452</v>
      </c>
      <c r="H4" s="38">
        <f>IF(MONTH((DATE(Jahr,3,1)-WEEKDAY(DATE(Jahr,3,1),2)+1)+6)=3,(DATE(Jahr,3,1)-WEEKDAY(DATE(Jahr,3,1),2)+1)+6,"")</f>
        <v>46453</v>
      </c>
      <c r="J4" s="39"/>
    </row>
    <row r="5" spans="1:10" ht="27.95" customHeight="1" x14ac:dyDescent="0.25">
      <c r="A5" s="82"/>
      <c r="B5" s="40" t="str">
        <f t="shared" ref="B5:H5" si="0">IF(ISNUMBER(B4),IF(IFERROR(INDEX(FT_Name,MATCH(B4,Feiertage_aktiv,0)),"")="",IFERROR(INDEX(BT_Name,MATCH(B4,BT_Datum,0)),""),IF(IFERROR(INDEX(BT_Name,MATCH(B4,BT_Datum,0)),"")="",IFERROR(INDEX(FT_Name,MATCH(B4,Feiertage_aktiv,0)),""),IF(LEFT(IFERROR(INDEX(BT_Name,MATCH(B4,BT_Datum,0)),""),LEN(IFERROR(INDEX(FT_Name,MATCH(B4,Feiertage_aktiv,0)),"")))=IFERROR(INDEX(FT_Name,MATCH(B4,Feiertage_aktiv,0)),""),IFERROR(INDEX(BT_Name,MATCH(B4,BT_Datum,0)),""),IFERROR(INDEX(FT_Name,MATCH(B4,Feiertage_aktiv,0)),"")&amp;" · "&amp;IFERROR(INDEX(BT_Name,MATCH(B4,BT_Datum,0)),"")))),"")</f>
        <v/>
      </c>
      <c r="C5" s="40" t="str">
        <f t="shared" si="0"/>
        <v/>
      </c>
      <c r="D5" s="40" t="str">
        <f t="shared" si="0"/>
        <v/>
      </c>
      <c r="E5" s="40" t="str">
        <f t="shared" si="0"/>
        <v/>
      </c>
      <c r="F5" s="40" t="str">
        <f t="shared" si="0"/>
        <v/>
      </c>
      <c r="G5" s="41" t="str">
        <f t="shared" si="0"/>
        <v/>
      </c>
      <c r="H5" s="41" t="str">
        <f t="shared" si="0"/>
        <v/>
      </c>
      <c r="J5" s="39"/>
    </row>
    <row r="6" spans="1:10" ht="21.95" customHeight="1" x14ac:dyDescent="0.25">
      <c r="A6" s="82"/>
      <c r="B6" s="42"/>
      <c r="C6" s="42"/>
      <c r="D6" s="42"/>
      <c r="E6" s="42"/>
      <c r="F6" s="42"/>
      <c r="G6" s="43"/>
      <c r="H6" s="43"/>
      <c r="J6" s="39"/>
    </row>
    <row r="7" spans="1:10" ht="23.1" customHeight="1" x14ac:dyDescent="0.25">
      <c r="A7" s="83"/>
      <c r="B7" s="44"/>
      <c r="C7" s="44"/>
      <c r="D7" s="44"/>
      <c r="E7" s="44"/>
      <c r="F7" s="44"/>
      <c r="G7" s="45"/>
      <c r="H7" s="45"/>
      <c r="J7" s="46"/>
    </row>
    <row r="8" spans="1:10" ht="24.95" customHeight="1" x14ac:dyDescent="0.25">
      <c r="A8" s="81">
        <f>IF(OR(MONTH((DATE(Jahr,3,1)-WEEKDAY(DATE(Jahr,3,1),2)+1)+7)=3,MONTH((DATE(Jahr,3,1)-WEEKDAY(DATE(Jahr,3,1),2)+1)+7+6)=3),_xlfn.ISOWEEKNUM((DATE(Jahr,3,1)-WEEKDAY(DATE(Jahr,3,1),2)+1)+7),"")</f>
        <v>10</v>
      </c>
      <c r="B8" s="37">
        <f>IF(MONTH((DATE(Jahr,3,1)-WEEKDAY(DATE(Jahr,3,1),2)+1)+7)=3,(DATE(Jahr,3,1)-WEEKDAY(DATE(Jahr,3,1),2)+1)+7,"")</f>
        <v>46454</v>
      </c>
      <c r="C8" s="37">
        <f>IF(MONTH((DATE(Jahr,3,1)-WEEKDAY(DATE(Jahr,3,1),2)+1)+8)=3,(DATE(Jahr,3,1)-WEEKDAY(DATE(Jahr,3,1),2)+1)+8,"")</f>
        <v>46455</v>
      </c>
      <c r="D8" s="37">
        <f>IF(MONTH((DATE(Jahr,3,1)-WEEKDAY(DATE(Jahr,3,1),2)+1)+9)=3,(DATE(Jahr,3,1)-WEEKDAY(DATE(Jahr,3,1),2)+1)+9,"")</f>
        <v>46456</v>
      </c>
      <c r="E8" s="37">
        <f>IF(MONTH((DATE(Jahr,3,1)-WEEKDAY(DATE(Jahr,3,1),2)+1)+10)=3,(DATE(Jahr,3,1)-WEEKDAY(DATE(Jahr,3,1),2)+1)+10,"")</f>
        <v>46457</v>
      </c>
      <c r="F8" s="37">
        <f>IF(MONTH((DATE(Jahr,3,1)-WEEKDAY(DATE(Jahr,3,1),2)+1)+11)=3,(DATE(Jahr,3,1)-WEEKDAY(DATE(Jahr,3,1),2)+1)+11,"")</f>
        <v>46458</v>
      </c>
      <c r="G8" s="38">
        <f>IF(MONTH((DATE(Jahr,3,1)-WEEKDAY(DATE(Jahr,3,1),2)+1)+12)=3,(DATE(Jahr,3,1)-WEEKDAY(DATE(Jahr,3,1),2)+1)+12,"")</f>
        <v>46459</v>
      </c>
      <c r="H8" s="38">
        <f>IF(MONTH((DATE(Jahr,3,1)-WEEKDAY(DATE(Jahr,3,1),2)+1)+13)=3,(DATE(Jahr,3,1)-WEEKDAY(DATE(Jahr,3,1),2)+1)+13,"")</f>
        <v>46460</v>
      </c>
      <c r="J8" s="39"/>
    </row>
    <row r="9" spans="1:10" ht="27.95" customHeight="1" x14ac:dyDescent="0.25">
      <c r="A9" s="82"/>
      <c r="B9" s="40" t="str">
        <f t="shared" ref="B9:H9" si="1">IF(ISNUMBER(B8),IF(IFERROR(INDEX(FT_Name,MATCH(B8,Feiertage_aktiv,0)),"")="",IFERROR(INDEX(BT_Name,MATCH(B8,BT_Datum,0)),""),IF(IFERROR(INDEX(BT_Name,MATCH(B8,BT_Datum,0)),"")="",IFERROR(INDEX(FT_Name,MATCH(B8,Feiertage_aktiv,0)),""),IF(LEFT(IFERROR(INDEX(BT_Name,MATCH(B8,BT_Datum,0)),""),LEN(IFERROR(INDEX(FT_Name,MATCH(B8,Feiertage_aktiv,0)),"")))=IFERROR(INDEX(FT_Name,MATCH(B8,Feiertage_aktiv,0)),""),IFERROR(INDEX(BT_Name,MATCH(B8,BT_Datum,0)),""),IFERROR(INDEX(FT_Name,MATCH(B8,Feiertage_aktiv,0)),"")&amp;" · "&amp;IFERROR(INDEX(BT_Name,MATCH(B8,BT_Datum,0)),"")))),"")</f>
        <v/>
      </c>
      <c r="C9" s="40" t="str">
        <f t="shared" si="1"/>
        <v/>
      </c>
      <c r="D9" s="40" t="str">
        <f t="shared" si="1"/>
        <v/>
      </c>
      <c r="E9" s="40" t="str">
        <f t="shared" si="1"/>
        <v/>
      </c>
      <c r="F9" s="40" t="str">
        <f t="shared" si="1"/>
        <v/>
      </c>
      <c r="G9" s="41" t="str">
        <f t="shared" si="1"/>
        <v/>
      </c>
      <c r="H9" s="41" t="str">
        <f t="shared" si="1"/>
        <v/>
      </c>
      <c r="J9" s="39"/>
    </row>
    <row r="10" spans="1:10" ht="21.95" customHeight="1" x14ac:dyDescent="0.25">
      <c r="A10" s="82"/>
      <c r="B10" s="42"/>
      <c r="C10" s="42"/>
      <c r="D10" s="42"/>
      <c r="E10" s="42"/>
      <c r="F10" s="42"/>
      <c r="G10" s="43"/>
      <c r="H10" s="43"/>
      <c r="J10" s="39"/>
    </row>
    <row r="11" spans="1:10" ht="23.1" customHeight="1" x14ac:dyDescent="0.25">
      <c r="A11" s="83"/>
      <c r="B11" s="44"/>
      <c r="C11" s="44"/>
      <c r="D11" s="44"/>
      <c r="E11" s="44"/>
      <c r="F11" s="44"/>
      <c r="G11" s="45"/>
      <c r="H11" s="45"/>
      <c r="J11" s="46"/>
    </row>
    <row r="12" spans="1:10" ht="24.95" customHeight="1" x14ac:dyDescent="0.25">
      <c r="A12" s="81">
        <f>IF(OR(MONTH((DATE(Jahr,3,1)-WEEKDAY(DATE(Jahr,3,1),2)+1)+14)=3,MONTH((DATE(Jahr,3,1)-WEEKDAY(DATE(Jahr,3,1),2)+1)+14+6)=3),_xlfn.ISOWEEKNUM((DATE(Jahr,3,1)-WEEKDAY(DATE(Jahr,3,1),2)+1)+14),"")</f>
        <v>11</v>
      </c>
      <c r="B12" s="37">
        <f>IF(MONTH((DATE(Jahr,3,1)-WEEKDAY(DATE(Jahr,3,1),2)+1)+14)=3,(DATE(Jahr,3,1)-WEEKDAY(DATE(Jahr,3,1),2)+1)+14,"")</f>
        <v>46461</v>
      </c>
      <c r="C12" s="37">
        <f>IF(MONTH((DATE(Jahr,3,1)-WEEKDAY(DATE(Jahr,3,1),2)+1)+15)=3,(DATE(Jahr,3,1)-WEEKDAY(DATE(Jahr,3,1),2)+1)+15,"")</f>
        <v>46462</v>
      </c>
      <c r="D12" s="37">
        <f>IF(MONTH((DATE(Jahr,3,1)-WEEKDAY(DATE(Jahr,3,1),2)+1)+16)=3,(DATE(Jahr,3,1)-WEEKDAY(DATE(Jahr,3,1),2)+1)+16,"")</f>
        <v>46463</v>
      </c>
      <c r="E12" s="37">
        <f>IF(MONTH((DATE(Jahr,3,1)-WEEKDAY(DATE(Jahr,3,1),2)+1)+17)=3,(DATE(Jahr,3,1)-WEEKDAY(DATE(Jahr,3,1),2)+1)+17,"")</f>
        <v>46464</v>
      </c>
      <c r="F12" s="37">
        <f>IF(MONTH((DATE(Jahr,3,1)-WEEKDAY(DATE(Jahr,3,1),2)+1)+18)=3,(DATE(Jahr,3,1)-WEEKDAY(DATE(Jahr,3,1),2)+1)+18,"")</f>
        <v>46465</v>
      </c>
      <c r="G12" s="38">
        <f>IF(MONTH((DATE(Jahr,3,1)-WEEKDAY(DATE(Jahr,3,1),2)+1)+19)=3,(DATE(Jahr,3,1)-WEEKDAY(DATE(Jahr,3,1),2)+1)+19,"")</f>
        <v>46466</v>
      </c>
      <c r="H12" s="38">
        <f>IF(MONTH((DATE(Jahr,3,1)-WEEKDAY(DATE(Jahr,3,1),2)+1)+20)=3,(DATE(Jahr,3,1)-WEEKDAY(DATE(Jahr,3,1),2)+1)+20,"")</f>
        <v>46467</v>
      </c>
      <c r="J12" s="39"/>
    </row>
    <row r="13" spans="1:10" ht="27.95" customHeight="1" x14ac:dyDescent="0.25">
      <c r="A13" s="82"/>
      <c r="B13" s="40" t="str">
        <f t="shared" ref="B13:H13" si="2">IF(ISNUMBER(B12),IF(IFERROR(INDEX(FT_Name,MATCH(B12,Feiertage_aktiv,0)),"")="",IFERROR(INDEX(BT_Name,MATCH(B12,BT_Datum,0)),""),IF(IFERROR(INDEX(BT_Name,MATCH(B12,BT_Datum,0)),"")="",IFERROR(INDEX(FT_Name,MATCH(B12,Feiertage_aktiv,0)),""),IF(LEFT(IFERROR(INDEX(BT_Name,MATCH(B12,BT_Datum,0)),""),LEN(IFERROR(INDEX(FT_Name,MATCH(B12,Feiertage_aktiv,0)),"")))=IFERROR(INDEX(FT_Name,MATCH(B12,Feiertage_aktiv,0)),""),IFERROR(INDEX(BT_Name,MATCH(B12,BT_Datum,0)),""),IFERROR(INDEX(FT_Name,MATCH(B12,Feiertage_aktiv,0)),"")&amp;" · "&amp;IFERROR(INDEX(BT_Name,MATCH(B12,BT_Datum,0)),"")))),"")</f>
        <v/>
      </c>
      <c r="C13" s="40" t="str">
        <f t="shared" si="2"/>
        <v/>
      </c>
      <c r="D13" s="40" t="str">
        <f t="shared" si="2"/>
        <v/>
      </c>
      <c r="E13" s="40" t="str">
        <f t="shared" si="2"/>
        <v/>
      </c>
      <c r="F13" s="40" t="str">
        <f t="shared" si="2"/>
        <v/>
      </c>
      <c r="G13" s="41" t="str">
        <f t="shared" si="2"/>
        <v/>
      </c>
      <c r="H13" s="41" t="str">
        <f t="shared" si="2"/>
        <v/>
      </c>
      <c r="J13" s="39"/>
    </row>
    <row r="14" spans="1:10" ht="21.95" customHeight="1" x14ac:dyDescent="0.25">
      <c r="A14" s="82"/>
      <c r="B14" s="42"/>
      <c r="C14" s="42"/>
      <c r="D14" s="42"/>
      <c r="E14" s="42"/>
      <c r="F14" s="42"/>
      <c r="G14" s="43"/>
      <c r="H14" s="43"/>
      <c r="J14" s="39"/>
    </row>
    <row r="15" spans="1:10" ht="23.1" customHeight="1" x14ac:dyDescent="0.25">
      <c r="A15" s="83"/>
      <c r="B15" s="44"/>
      <c r="C15" s="44"/>
      <c r="D15" s="44"/>
      <c r="E15" s="44"/>
      <c r="F15" s="44"/>
      <c r="G15" s="45"/>
      <c r="H15" s="45"/>
      <c r="J15" s="46"/>
    </row>
    <row r="16" spans="1:10" ht="24.95" customHeight="1" x14ac:dyDescent="0.25">
      <c r="A16" s="81">
        <f>IF(OR(MONTH((DATE(Jahr,3,1)-WEEKDAY(DATE(Jahr,3,1),2)+1)+21)=3,MONTH((DATE(Jahr,3,1)-WEEKDAY(DATE(Jahr,3,1),2)+1)+21+6)=3),_xlfn.ISOWEEKNUM((DATE(Jahr,3,1)-WEEKDAY(DATE(Jahr,3,1),2)+1)+21),"")</f>
        <v>12</v>
      </c>
      <c r="B16" s="37">
        <f>IF(MONTH((DATE(Jahr,3,1)-WEEKDAY(DATE(Jahr,3,1),2)+1)+21)=3,(DATE(Jahr,3,1)-WEEKDAY(DATE(Jahr,3,1),2)+1)+21,"")</f>
        <v>46468</v>
      </c>
      <c r="C16" s="37">
        <f>IF(MONTH((DATE(Jahr,3,1)-WEEKDAY(DATE(Jahr,3,1),2)+1)+22)=3,(DATE(Jahr,3,1)-WEEKDAY(DATE(Jahr,3,1),2)+1)+22,"")</f>
        <v>46469</v>
      </c>
      <c r="D16" s="37">
        <f>IF(MONTH((DATE(Jahr,3,1)-WEEKDAY(DATE(Jahr,3,1),2)+1)+23)=3,(DATE(Jahr,3,1)-WEEKDAY(DATE(Jahr,3,1),2)+1)+23,"")</f>
        <v>46470</v>
      </c>
      <c r="E16" s="37">
        <f>IF(MONTH((DATE(Jahr,3,1)-WEEKDAY(DATE(Jahr,3,1),2)+1)+24)=3,(DATE(Jahr,3,1)-WEEKDAY(DATE(Jahr,3,1),2)+1)+24,"")</f>
        <v>46471</v>
      </c>
      <c r="F16" s="37">
        <f>IF(MONTH((DATE(Jahr,3,1)-WEEKDAY(DATE(Jahr,3,1),2)+1)+25)=3,(DATE(Jahr,3,1)-WEEKDAY(DATE(Jahr,3,1),2)+1)+25,"")</f>
        <v>46472</v>
      </c>
      <c r="G16" s="38">
        <f>IF(MONTH((DATE(Jahr,3,1)-WEEKDAY(DATE(Jahr,3,1),2)+1)+26)=3,(DATE(Jahr,3,1)-WEEKDAY(DATE(Jahr,3,1),2)+1)+26,"")</f>
        <v>46473</v>
      </c>
      <c r="H16" s="38">
        <f>IF(MONTH((DATE(Jahr,3,1)-WEEKDAY(DATE(Jahr,3,1),2)+1)+27)=3,(DATE(Jahr,3,1)-WEEKDAY(DATE(Jahr,3,1),2)+1)+27,"")</f>
        <v>46474</v>
      </c>
      <c r="J16" s="39"/>
    </row>
    <row r="17" spans="1:10" ht="27.95" customHeight="1" x14ac:dyDescent="0.25">
      <c r="A17" s="82"/>
      <c r="B17" s="40" t="str">
        <f t="shared" ref="B17:H17" si="3">IF(ISNUMBER(B16),IF(IFERROR(INDEX(FT_Name,MATCH(B16,Feiertage_aktiv,0)),"")="",IFERROR(INDEX(BT_Name,MATCH(B16,BT_Datum,0)),""),IF(IFERROR(INDEX(BT_Name,MATCH(B16,BT_Datum,0)),"")="",IFERROR(INDEX(FT_Name,MATCH(B16,Feiertage_aktiv,0)),""),IF(LEFT(IFERROR(INDEX(BT_Name,MATCH(B16,BT_Datum,0)),""),LEN(IFERROR(INDEX(FT_Name,MATCH(B16,Feiertage_aktiv,0)),"")))=IFERROR(INDEX(FT_Name,MATCH(B16,Feiertage_aktiv,0)),""),IFERROR(INDEX(BT_Name,MATCH(B16,BT_Datum,0)),""),IFERROR(INDEX(FT_Name,MATCH(B16,Feiertage_aktiv,0)),"")&amp;" · "&amp;IFERROR(INDEX(BT_Name,MATCH(B16,BT_Datum,0)),"")))),"")</f>
        <v/>
      </c>
      <c r="C17" s="40" t="str">
        <f t="shared" si="3"/>
        <v/>
      </c>
      <c r="D17" s="40" t="str">
        <f t="shared" si="3"/>
        <v/>
      </c>
      <c r="E17" s="40" t="str">
        <f t="shared" si="3"/>
        <v/>
      </c>
      <c r="F17" s="40" t="str">
        <f t="shared" si="3"/>
        <v>Karfreitag</v>
      </c>
      <c r="G17" s="41" t="str">
        <f t="shared" si="3"/>
        <v/>
      </c>
      <c r="H17" s="41" t="str">
        <f t="shared" si="3"/>
        <v>Ostersonntag · Beginn Sommerzeit</v>
      </c>
      <c r="J17" s="39"/>
    </row>
    <row r="18" spans="1:10" ht="21.95" customHeight="1" x14ac:dyDescent="0.25">
      <c r="A18" s="82"/>
      <c r="B18" s="42"/>
      <c r="C18" s="42"/>
      <c r="D18" s="42"/>
      <c r="E18" s="42"/>
      <c r="F18" s="42"/>
      <c r="G18" s="43"/>
      <c r="H18" s="43"/>
      <c r="J18" s="39"/>
    </row>
    <row r="19" spans="1:10" ht="23.1" customHeight="1" x14ac:dyDescent="0.25">
      <c r="A19" s="83"/>
      <c r="B19" s="44"/>
      <c r="C19" s="44"/>
      <c r="D19" s="44"/>
      <c r="E19" s="44"/>
      <c r="F19" s="44"/>
      <c r="G19" s="45"/>
      <c r="H19" s="45"/>
      <c r="J19" s="46"/>
    </row>
    <row r="20" spans="1:10" ht="24.95" customHeight="1" x14ac:dyDescent="0.25">
      <c r="A20" s="81">
        <f>IF(OR(MONTH((DATE(Jahr,3,1)-WEEKDAY(DATE(Jahr,3,1),2)+1)+28)=3,MONTH((DATE(Jahr,3,1)-WEEKDAY(DATE(Jahr,3,1),2)+1)+28+6)=3),_xlfn.ISOWEEKNUM((DATE(Jahr,3,1)-WEEKDAY(DATE(Jahr,3,1),2)+1)+28),"")</f>
        <v>13</v>
      </c>
      <c r="B20" s="37">
        <f>IF(MONTH((DATE(Jahr,3,1)-WEEKDAY(DATE(Jahr,3,1),2)+1)+28)=3,(DATE(Jahr,3,1)-WEEKDAY(DATE(Jahr,3,1),2)+1)+28,"")</f>
        <v>46475</v>
      </c>
      <c r="C20" s="37">
        <f>IF(MONTH((DATE(Jahr,3,1)-WEEKDAY(DATE(Jahr,3,1),2)+1)+29)=3,(DATE(Jahr,3,1)-WEEKDAY(DATE(Jahr,3,1),2)+1)+29,"")</f>
        <v>46476</v>
      </c>
      <c r="D20" s="37">
        <f>IF(MONTH((DATE(Jahr,3,1)-WEEKDAY(DATE(Jahr,3,1),2)+1)+30)=3,(DATE(Jahr,3,1)-WEEKDAY(DATE(Jahr,3,1),2)+1)+30,"")</f>
        <v>46477</v>
      </c>
      <c r="E20" s="37" t="str">
        <f>IF(MONTH((DATE(Jahr,3,1)-WEEKDAY(DATE(Jahr,3,1),2)+1)+31)=3,(DATE(Jahr,3,1)-WEEKDAY(DATE(Jahr,3,1),2)+1)+31,"")</f>
        <v/>
      </c>
      <c r="F20" s="37" t="str">
        <f>IF(MONTH((DATE(Jahr,3,1)-WEEKDAY(DATE(Jahr,3,1),2)+1)+32)=3,(DATE(Jahr,3,1)-WEEKDAY(DATE(Jahr,3,1),2)+1)+32,"")</f>
        <v/>
      </c>
      <c r="G20" s="38" t="str">
        <f>IF(MONTH((DATE(Jahr,3,1)-WEEKDAY(DATE(Jahr,3,1),2)+1)+33)=3,(DATE(Jahr,3,1)-WEEKDAY(DATE(Jahr,3,1),2)+1)+33,"")</f>
        <v/>
      </c>
      <c r="H20" s="38" t="str">
        <f>IF(MONTH((DATE(Jahr,3,1)-WEEKDAY(DATE(Jahr,3,1),2)+1)+34)=3,(DATE(Jahr,3,1)-WEEKDAY(DATE(Jahr,3,1),2)+1)+34,"")</f>
        <v/>
      </c>
      <c r="J20" s="39"/>
    </row>
    <row r="21" spans="1:10" ht="27.95" customHeight="1" x14ac:dyDescent="0.25">
      <c r="A21" s="82"/>
      <c r="B21" s="40" t="str">
        <f t="shared" ref="B21:H21" si="4">IF(ISNUMBER(B20),IF(IFERROR(INDEX(FT_Name,MATCH(B20,Feiertage_aktiv,0)),"")="",IFERROR(INDEX(BT_Name,MATCH(B20,BT_Datum,0)),""),IF(IFERROR(INDEX(BT_Name,MATCH(B20,BT_Datum,0)),"")="",IFERROR(INDEX(FT_Name,MATCH(B20,Feiertage_aktiv,0)),""),IF(LEFT(IFERROR(INDEX(BT_Name,MATCH(B20,BT_Datum,0)),""),LEN(IFERROR(INDEX(FT_Name,MATCH(B20,Feiertage_aktiv,0)),"")))=IFERROR(INDEX(FT_Name,MATCH(B20,Feiertage_aktiv,0)),""),IFERROR(INDEX(BT_Name,MATCH(B20,BT_Datum,0)),""),IFERROR(INDEX(FT_Name,MATCH(B20,Feiertage_aktiv,0)),"")&amp;" · "&amp;IFERROR(INDEX(BT_Name,MATCH(B20,BT_Datum,0)),"")))),"")</f>
        <v>Ostermontag</v>
      </c>
      <c r="C21" s="40" t="str">
        <f t="shared" si="4"/>
        <v/>
      </c>
      <c r="D21" s="40" t="str">
        <f t="shared" si="4"/>
        <v/>
      </c>
      <c r="E21" s="40" t="str">
        <f t="shared" si="4"/>
        <v/>
      </c>
      <c r="F21" s="40" t="str">
        <f t="shared" si="4"/>
        <v/>
      </c>
      <c r="G21" s="41" t="str">
        <f t="shared" si="4"/>
        <v/>
      </c>
      <c r="H21" s="41" t="str">
        <f t="shared" si="4"/>
        <v/>
      </c>
      <c r="J21" s="39"/>
    </row>
    <row r="22" spans="1:10" ht="21.95" customHeight="1" x14ac:dyDescent="0.25">
      <c r="A22" s="82"/>
      <c r="B22" s="42"/>
      <c r="C22" s="42"/>
      <c r="D22" s="42"/>
      <c r="E22" s="42"/>
      <c r="F22" s="42"/>
      <c r="G22" s="43"/>
      <c r="H22" s="43"/>
      <c r="J22" s="39"/>
    </row>
    <row r="23" spans="1:10" ht="23.1" customHeight="1" x14ac:dyDescent="0.25">
      <c r="A23" s="83"/>
      <c r="B23" s="44"/>
      <c r="C23" s="44"/>
      <c r="D23" s="44"/>
      <c r="E23" s="44"/>
      <c r="F23" s="44"/>
      <c r="G23" s="45"/>
      <c r="H23" s="45"/>
      <c r="J23" s="46"/>
    </row>
    <row r="24" spans="1:10" ht="24.95" customHeight="1" x14ac:dyDescent="0.25">
      <c r="A24" s="81" t="str">
        <f>IF(OR(MONTH((DATE(Jahr,3,1)-WEEKDAY(DATE(Jahr,3,1),2)+1)+35)=3,MONTH((DATE(Jahr,3,1)-WEEKDAY(DATE(Jahr,3,1),2)+1)+35+6)=3),_xlfn.ISOWEEKNUM((DATE(Jahr,3,1)-WEEKDAY(DATE(Jahr,3,1),2)+1)+35),"")</f>
        <v/>
      </c>
      <c r="B24" s="37" t="str">
        <f>IF(MONTH((DATE(Jahr,3,1)-WEEKDAY(DATE(Jahr,3,1),2)+1)+35)=3,(DATE(Jahr,3,1)-WEEKDAY(DATE(Jahr,3,1),2)+1)+35,"")</f>
        <v/>
      </c>
      <c r="C24" s="37" t="str">
        <f>IF(MONTH((DATE(Jahr,3,1)-WEEKDAY(DATE(Jahr,3,1),2)+1)+36)=3,(DATE(Jahr,3,1)-WEEKDAY(DATE(Jahr,3,1),2)+1)+36,"")</f>
        <v/>
      </c>
      <c r="D24" s="37" t="str">
        <f>IF(MONTH((DATE(Jahr,3,1)-WEEKDAY(DATE(Jahr,3,1),2)+1)+37)=3,(DATE(Jahr,3,1)-WEEKDAY(DATE(Jahr,3,1),2)+1)+37,"")</f>
        <v/>
      </c>
      <c r="E24" s="37" t="str">
        <f>IF(MONTH((DATE(Jahr,3,1)-WEEKDAY(DATE(Jahr,3,1),2)+1)+38)=3,(DATE(Jahr,3,1)-WEEKDAY(DATE(Jahr,3,1),2)+1)+38,"")</f>
        <v/>
      </c>
      <c r="F24" s="37" t="str">
        <f>IF(MONTH((DATE(Jahr,3,1)-WEEKDAY(DATE(Jahr,3,1),2)+1)+39)=3,(DATE(Jahr,3,1)-WEEKDAY(DATE(Jahr,3,1),2)+1)+39,"")</f>
        <v/>
      </c>
      <c r="G24" s="38" t="str">
        <f>IF(MONTH((DATE(Jahr,3,1)-WEEKDAY(DATE(Jahr,3,1),2)+1)+40)=3,(DATE(Jahr,3,1)-WEEKDAY(DATE(Jahr,3,1),2)+1)+40,"")</f>
        <v/>
      </c>
      <c r="H24" s="38" t="str">
        <f>IF(MONTH((DATE(Jahr,3,1)-WEEKDAY(DATE(Jahr,3,1),2)+1)+41)=3,(DATE(Jahr,3,1)-WEEKDAY(DATE(Jahr,3,1),2)+1)+41,"")</f>
        <v/>
      </c>
      <c r="J24" s="39"/>
    </row>
    <row r="25" spans="1:10" ht="27.95" customHeight="1" x14ac:dyDescent="0.25">
      <c r="A25" s="82"/>
      <c r="B25" s="40" t="str">
        <f t="shared" ref="B25:H25" si="5">IF(ISNUMBER(B24),IF(IFERROR(INDEX(FT_Name,MATCH(B24,Feiertage_aktiv,0)),"")="",IFERROR(INDEX(BT_Name,MATCH(B24,BT_Datum,0)),""),IF(IFERROR(INDEX(BT_Name,MATCH(B24,BT_Datum,0)),"")="",IFERROR(INDEX(FT_Name,MATCH(B24,Feiertage_aktiv,0)),""),IF(LEFT(IFERROR(INDEX(BT_Name,MATCH(B24,BT_Datum,0)),""),LEN(IFERROR(INDEX(FT_Name,MATCH(B24,Feiertage_aktiv,0)),"")))=IFERROR(INDEX(FT_Name,MATCH(B24,Feiertage_aktiv,0)),""),IFERROR(INDEX(BT_Name,MATCH(B24,BT_Datum,0)),""),IFERROR(INDEX(FT_Name,MATCH(B24,Feiertage_aktiv,0)),"")&amp;" · "&amp;IFERROR(INDEX(BT_Name,MATCH(B24,BT_Datum,0)),"")))),"")</f>
        <v/>
      </c>
      <c r="C25" s="40" t="str">
        <f t="shared" si="5"/>
        <v/>
      </c>
      <c r="D25" s="40" t="str">
        <f t="shared" si="5"/>
        <v/>
      </c>
      <c r="E25" s="40" t="str">
        <f t="shared" si="5"/>
        <v/>
      </c>
      <c r="F25" s="40" t="str">
        <f t="shared" si="5"/>
        <v/>
      </c>
      <c r="G25" s="41" t="str">
        <f t="shared" si="5"/>
        <v/>
      </c>
      <c r="H25" s="41" t="str">
        <f t="shared" si="5"/>
        <v/>
      </c>
      <c r="J25" s="39"/>
    </row>
    <row r="26" spans="1:10" ht="21.95" customHeight="1" x14ac:dyDescent="0.25">
      <c r="A26" s="82"/>
      <c r="B26" s="42"/>
      <c r="C26" s="42"/>
      <c r="D26" s="42"/>
      <c r="E26" s="42"/>
      <c r="F26" s="42"/>
      <c r="G26" s="43"/>
      <c r="H26" s="43"/>
      <c r="J26" s="39"/>
    </row>
    <row r="27" spans="1:10" ht="23.1" customHeight="1" x14ac:dyDescent="0.25">
      <c r="A27" s="83"/>
      <c r="B27" s="44"/>
      <c r="C27" s="44"/>
      <c r="D27" s="44"/>
      <c r="E27" s="44"/>
      <c r="F27" s="44"/>
      <c r="G27" s="45"/>
      <c r="H27" s="45"/>
      <c r="J27" s="46"/>
    </row>
    <row r="28" spans="1:10" ht="15.95" customHeight="1" x14ac:dyDescent="0.25">
      <c r="A28" s="47" t="str">
        <f>"Rot: gesetzlicher Feiertag in "&amp;Bundesland&amp;". Grau: besondere Tage ohne Feiertag. Jahr und Bundesland ändern Sie im Blatt Jahreskalender."</f>
        <v>Rot: gesetzlicher Feiertag in Nordrhein-Westfalen. Grau: besondere Tage ohne Feiertag. Jahr und Bundesland ändern Sie im Blatt Jahreskalender.</v>
      </c>
    </row>
  </sheetData>
  <mergeCells count="6">
    <mergeCell ref="A4:A7"/>
    <mergeCell ref="A8:A11"/>
    <mergeCell ref="A12:A15"/>
    <mergeCell ref="A20:A23"/>
    <mergeCell ref="A24:A27"/>
    <mergeCell ref="A16:A19"/>
  </mergeCells>
  <conditionalFormatting sqref="B4:H7">
    <cfRule type="expression" dxfId="124" priority="1" stopIfTrue="1">
      <formula>B$4=""</formula>
    </cfRule>
    <cfRule type="expression" dxfId="123" priority="2">
      <formula>AND(ISNUMBER(B$4),COUNTIF(Feiertage_aktiv,B$4)&gt;0)</formula>
    </cfRule>
  </conditionalFormatting>
  <conditionalFormatting sqref="B8:H11">
    <cfRule type="expression" dxfId="122" priority="3" stopIfTrue="1">
      <formula>B$8=""</formula>
    </cfRule>
    <cfRule type="expression" dxfId="121" priority="4">
      <formula>AND(ISNUMBER(B$8),COUNTIF(Feiertage_aktiv,B$8)&gt;0)</formula>
    </cfRule>
  </conditionalFormatting>
  <conditionalFormatting sqref="B12:H15">
    <cfRule type="expression" dxfId="120" priority="5" stopIfTrue="1">
      <formula>B$12=""</formula>
    </cfRule>
    <cfRule type="expression" dxfId="119" priority="6">
      <formula>AND(ISNUMBER(B$12),COUNTIF(Feiertage_aktiv,B$12)&gt;0)</formula>
    </cfRule>
  </conditionalFormatting>
  <conditionalFormatting sqref="B16:H19">
    <cfRule type="expression" dxfId="118" priority="7" stopIfTrue="1">
      <formula>B$16=""</formula>
    </cfRule>
    <cfRule type="expression" dxfId="117" priority="8">
      <formula>AND(ISNUMBER(B$16),COUNTIF(Feiertage_aktiv,B$16)&gt;0)</formula>
    </cfRule>
  </conditionalFormatting>
  <conditionalFormatting sqref="B20:H23">
    <cfRule type="expression" dxfId="116" priority="9" stopIfTrue="1">
      <formula>B$20=""</formula>
    </cfRule>
    <cfRule type="expression" dxfId="115" priority="10">
      <formula>AND(ISNUMBER(B$20),COUNTIF(Feiertage_aktiv,B$20)&gt;0)</formula>
    </cfRule>
  </conditionalFormatting>
  <conditionalFormatting sqref="B24:H27">
    <cfRule type="expression" dxfId="114" priority="11" stopIfTrue="1">
      <formula>B$24=""</formula>
    </cfRule>
    <cfRule type="expression" dxfId="113" priority="12">
      <formula>AND(ISNUMBER(B$24),COUNTIF(Feiertage_aktiv,B$24)&gt;0)</formula>
    </cfRule>
  </conditionalFormatting>
  <printOptions horizontalCentered="1"/>
  <pageMargins left="0.4" right="0.4" top="0.45" bottom="0.55000000000000004" header="0.2" footer="0.25"/>
  <pageSetup paperSize="9" orientation="landscape"/>
  <headerFooter>
    <oddFooter>&amp;C&amp;8 &amp;K686E70Vorlage von seminaron.de&amp;R&amp;8 &amp;K686E70&amp;A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8"/>
  <sheetViews>
    <sheetView showGridLines="0" zoomScale="85" workbookViewId="0"/>
  </sheetViews>
  <sheetFormatPr baseColWidth="10" defaultColWidth="9.140625" defaultRowHeight="15" x14ac:dyDescent="0.25"/>
  <cols>
    <col min="1" max="1" width="5.42578125" customWidth="1"/>
    <col min="2" max="8" width="19.42578125" customWidth="1"/>
    <col min="9" max="9" width="1.42578125" customWidth="1"/>
    <col min="10" max="10" width="30" customWidth="1"/>
  </cols>
  <sheetData>
    <row r="1" spans="1:10" ht="36" customHeight="1" x14ac:dyDescent="0.25">
      <c r="A1" s="34" t="str">
        <f>"April "&amp;Jahr</f>
        <v>April 2027</v>
      </c>
    </row>
    <row r="2" spans="1:10" ht="18" customHeight="1" x14ac:dyDescent="0.25">
      <c r="A2" s="20" t="str">
        <f>"Feiertage: "&amp;Bundesland&amp;" · Arbeitstage Montag bis Freitag: "&amp;NETWORKDAYS(DATE(Jahr,4,1),DATE(Jahr,5,0),Feiertage_aktiv)</f>
        <v>Feiertage: Nordrhein-Westfalen · Arbeitstage Montag bis Freitag: 22</v>
      </c>
    </row>
    <row r="3" spans="1:10" ht="21" customHeight="1" x14ac:dyDescent="0.25">
      <c r="A3" s="35" t="s">
        <v>7</v>
      </c>
      <c r="B3" s="35" t="s">
        <v>56</v>
      </c>
      <c r="C3" s="35" t="s">
        <v>57</v>
      </c>
      <c r="D3" s="35" t="s">
        <v>58</v>
      </c>
      <c r="E3" s="35" t="s">
        <v>59</v>
      </c>
      <c r="F3" s="35" t="s">
        <v>60</v>
      </c>
      <c r="G3" s="36" t="s">
        <v>61</v>
      </c>
      <c r="H3" s="36" t="s">
        <v>62</v>
      </c>
      <c r="J3" s="35" t="s">
        <v>63</v>
      </c>
    </row>
    <row r="4" spans="1:10" ht="24.95" customHeight="1" x14ac:dyDescent="0.25">
      <c r="A4" s="81">
        <f>IF(OR(MONTH((DATE(Jahr,4,1)-WEEKDAY(DATE(Jahr,4,1),2)+1)+0)=4,MONTH((DATE(Jahr,4,1)-WEEKDAY(DATE(Jahr,4,1),2)+1)+0+6)=4),_xlfn.ISOWEEKNUM((DATE(Jahr,4,1)-WEEKDAY(DATE(Jahr,4,1),2)+1)+0),"")</f>
        <v>13</v>
      </c>
      <c r="B4" s="37" t="str">
        <f>IF(MONTH((DATE(Jahr,4,1)-WEEKDAY(DATE(Jahr,4,1),2)+1)+0)=4,(DATE(Jahr,4,1)-WEEKDAY(DATE(Jahr,4,1),2)+1)+0,"")</f>
        <v/>
      </c>
      <c r="C4" s="37" t="str">
        <f>IF(MONTH((DATE(Jahr,4,1)-WEEKDAY(DATE(Jahr,4,1),2)+1)+1)=4,(DATE(Jahr,4,1)-WEEKDAY(DATE(Jahr,4,1),2)+1)+1,"")</f>
        <v/>
      </c>
      <c r="D4" s="37" t="str">
        <f>IF(MONTH((DATE(Jahr,4,1)-WEEKDAY(DATE(Jahr,4,1),2)+1)+2)=4,(DATE(Jahr,4,1)-WEEKDAY(DATE(Jahr,4,1),2)+1)+2,"")</f>
        <v/>
      </c>
      <c r="E4" s="37">
        <f>IF(MONTH((DATE(Jahr,4,1)-WEEKDAY(DATE(Jahr,4,1),2)+1)+3)=4,(DATE(Jahr,4,1)-WEEKDAY(DATE(Jahr,4,1),2)+1)+3,"")</f>
        <v>46478</v>
      </c>
      <c r="F4" s="37">
        <f>IF(MONTH((DATE(Jahr,4,1)-WEEKDAY(DATE(Jahr,4,1),2)+1)+4)=4,(DATE(Jahr,4,1)-WEEKDAY(DATE(Jahr,4,1),2)+1)+4,"")</f>
        <v>46479</v>
      </c>
      <c r="G4" s="38">
        <f>IF(MONTH((DATE(Jahr,4,1)-WEEKDAY(DATE(Jahr,4,1),2)+1)+5)=4,(DATE(Jahr,4,1)-WEEKDAY(DATE(Jahr,4,1),2)+1)+5,"")</f>
        <v>46480</v>
      </c>
      <c r="H4" s="38">
        <f>IF(MONTH((DATE(Jahr,4,1)-WEEKDAY(DATE(Jahr,4,1),2)+1)+6)=4,(DATE(Jahr,4,1)-WEEKDAY(DATE(Jahr,4,1),2)+1)+6,"")</f>
        <v>46481</v>
      </c>
      <c r="J4" s="39"/>
    </row>
    <row r="5" spans="1:10" ht="27.95" customHeight="1" x14ac:dyDescent="0.25">
      <c r="A5" s="82"/>
      <c r="B5" s="40" t="str">
        <f t="shared" ref="B5:H5" si="0">IF(ISNUMBER(B4),IF(IFERROR(INDEX(FT_Name,MATCH(B4,Feiertage_aktiv,0)),"")="",IFERROR(INDEX(BT_Name,MATCH(B4,BT_Datum,0)),""),IF(IFERROR(INDEX(BT_Name,MATCH(B4,BT_Datum,0)),"")="",IFERROR(INDEX(FT_Name,MATCH(B4,Feiertage_aktiv,0)),""),IF(LEFT(IFERROR(INDEX(BT_Name,MATCH(B4,BT_Datum,0)),""),LEN(IFERROR(INDEX(FT_Name,MATCH(B4,Feiertage_aktiv,0)),"")))=IFERROR(INDEX(FT_Name,MATCH(B4,Feiertage_aktiv,0)),""),IFERROR(INDEX(BT_Name,MATCH(B4,BT_Datum,0)),""),IFERROR(INDEX(FT_Name,MATCH(B4,Feiertage_aktiv,0)),"")&amp;" · "&amp;IFERROR(INDEX(BT_Name,MATCH(B4,BT_Datum,0)),"")))),"")</f>
        <v/>
      </c>
      <c r="C5" s="40" t="str">
        <f t="shared" si="0"/>
        <v/>
      </c>
      <c r="D5" s="40" t="str">
        <f t="shared" si="0"/>
        <v/>
      </c>
      <c r="E5" s="40" t="str">
        <f t="shared" si="0"/>
        <v/>
      </c>
      <c r="F5" s="40" t="str">
        <f t="shared" si="0"/>
        <v/>
      </c>
      <c r="G5" s="41" t="str">
        <f t="shared" si="0"/>
        <v/>
      </c>
      <c r="H5" s="41" t="str">
        <f t="shared" si="0"/>
        <v/>
      </c>
      <c r="J5" s="39"/>
    </row>
    <row r="6" spans="1:10" ht="21.95" customHeight="1" x14ac:dyDescent="0.25">
      <c r="A6" s="82"/>
      <c r="B6" s="42"/>
      <c r="C6" s="42"/>
      <c r="D6" s="42"/>
      <c r="E6" s="42"/>
      <c r="F6" s="42"/>
      <c r="G6" s="43"/>
      <c r="H6" s="43"/>
      <c r="J6" s="39"/>
    </row>
    <row r="7" spans="1:10" ht="23.1" customHeight="1" x14ac:dyDescent="0.25">
      <c r="A7" s="83"/>
      <c r="B7" s="44"/>
      <c r="C7" s="44"/>
      <c r="D7" s="44"/>
      <c r="E7" s="44"/>
      <c r="F7" s="44"/>
      <c r="G7" s="45"/>
      <c r="H7" s="45"/>
      <c r="J7" s="46"/>
    </row>
    <row r="8" spans="1:10" ht="24.95" customHeight="1" x14ac:dyDescent="0.25">
      <c r="A8" s="81">
        <f>IF(OR(MONTH((DATE(Jahr,4,1)-WEEKDAY(DATE(Jahr,4,1),2)+1)+7)=4,MONTH((DATE(Jahr,4,1)-WEEKDAY(DATE(Jahr,4,1),2)+1)+7+6)=4),_xlfn.ISOWEEKNUM((DATE(Jahr,4,1)-WEEKDAY(DATE(Jahr,4,1),2)+1)+7),"")</f>
        <v>14</v>
      </c>
      <c r="B8" s="37">
        <f>IF(MONTH((DATE(Jahr,4,1)-WEEKDAY(DATE(Jahr,4,1),2)+1)+7)=4,(DATE(Jahr,4,1)-WEEKDAY(DATE(Jahr,4,1),2)+1)+7,"")</f>
        <v>46482</v>
      </c>
      <c r="C8" s="37">
        <f>IF(MONTH((DATE(Jahr,4,1)-WEEKDAY(DATE(Jahr,4,1),2)+1)+8)=4,(DATE(Jahr,4,1)-WEEKDAY(DATE(Jahr,4,1),2)+1)+8,"")</f>
        <v>46483</v>
      </c>
      <c r="D8" s="37">
        <f>IF(MONTH((DATE(Jahr,4,1)-WEEKDAY(DATE(Jahr,4,1),2)+1)+9)=4,(DATE(Jahr,4,1)-WEEKDAY(DATE(Jahr,4,1),2)+1)+9,"")</f>
        <v>46484</v>
      </c>
      <c r="E8" s="37">
        <f>IF(MONTH((DATE(Jahr,4,1)-WEEKDAY(DATE(Jahr,4,1),2)+1)+10)=4,(DATE(Jahr,4,1)-WEEKDAY(DATE(Jahr,4,1),2)+1)+10,"")</f>
        <v>46485</v>
      </c>
      <c r="F8" s="37">
        <f>IF(MONTH((DATE(Jahr,4,1)-WEEKDAY(DATE(Jahr,4,1),2)+1)+11)=4,(DATE(Jahr,4,1)-WEEKDAY(DATE(Jahr,4,1),2)+1)+11,"")</f>
        <v>46486</v>
      </c>
      <c r="G8" s="38">
        <f>IF(MONTH((DATE(Jahr,4,1)-WEEKDAY(DATE(Jahr,4,1),2)+1)+12)=4,(DATE(Jahr,4,1)-WEEKDAY(DATE(Jahr,4,1),2)+1)+12,"")</f>
        <v>46487</v>
      </c>
      <c r="H8" s="38">
        <f>IF(MONTH((DATE(Jahr,4,1)-WEEKDAY(DATE(Jahr,4,1),2)+1)+13)=4,(DATE(Jahr,4,1)-WEEKDAY(DATE(Jahr,4,1),2)+1)+13,"")</f>
        <v>46488</v>
      </c>
      <c r="J8" s="39"/>
    </row>
    <row r="9" spans="1:10" ht="27.95" customHeight="1" x14ac:dyDescent="0.25">
      <c r="A9" s="82"/>
      <c r="B9" s="40" t="str">
        <f t="shared" ref="B9:H9" si="1">IF(ISNUMBER(B8),IF(IFERROR(INDEX(FT_Name,MATCH(B8,Feiertage_aktiv,0)),"")="",IFERROR(INDEX(BT_Name,MATCH(B8,BT_Datum,0)),""),IF(IFERROR(INDEX(BT_Name,MATCH(B8,BT_Datum,0)),"")="",IFERROR(INDEX(FT_Name,MATCH(B8,Feiertage_aktiv,0)),""),IF(LEFT(IFERROR(INDEX(BT_Name,MATCH(B8,BT_Datum,0)),""),LEN(IFERROR(INDEX(FT_Name,MATCH(B8,Feiertage_aktiv,0)),"")))=IFERROR(INDEX(FT_Name,MATCH(B8,Feiertage_aktiv,0)),""),IFERROR(INDEX(BT_Name,MATCH(B8,BT_Datum,0)),""),IFERROR(INDEX(FT_Name,MATCH(B8,Feiertage_aktiv,0)),"")&amp;" · "&amp;IFERROR(INDEX(BT_Name,MATCH(B8,BT_Datum,0)),"")))),"")</f>
        <v/>
      </c>
      <c r="C9" s="40" t="str">
        <f t="shared" si="1"/>
        <v/>
      </c>
      <c r="D9" s="40" t="str">
        <f t="shared" si="1"/>
        <v/>
      </c>
      <c r="E9" s="40" t="str">
        <f t="shared" si="1"/>
        <v/>
      </c>
      <c r="F9" s="40" t="str">
        <f t="shared" si="1"/>
        <v/>
      </c>
      <c r="G9" s="41" t="str">
        <f t="shared" si="1"/>
        <v/>
      </c>
      <c r="H9" s="41" t="str">
        <f t="shared" si="1"/>
        <v/>
      </c>
      <c r="J9" s="39"/>
    </row>
    <row r="10" spans="1:10" ht="21.95" customHeight="1" x14ac:dyDescent="0.25">
      <c r="A10" s="82"/>
      <c r="B10" s="42"/>
      <c r="C10" s="42"/>
      <c r="D10" s="42"/>
      <c r="E10" s="42"/>
      <c r="F10" s="42"/>
      <c r="G10" s="43"/>
      <c r="H10" s="43"/>
      <c r="J10" s="39"/>
    </row>
    <row r="11" spans="1:10" ht="23.1" customHeight="1" x14ac:dyDescent="0.25">
      <c r="A11" s="83"/>
      <c r="B11" s="44"/>
      <c r="C11" s="44"/>
      <c r="D11" s="44"/>
      <c r="E11" s="44"/>
      <c r="F11" s="44"/>
      <c r="G11" s="45"/>
      <c r="H11" s="45"/>
      <c r="J11" s="46"/>
    </row>
    <row r="12" spans="1:10" ht="24.95" customHeight="1" x14ac:dyDescent="0.25">
      <c r="A12" s="81">
        <f>IF(OR(MONTH((DATE(Jahr,4,1)-WEEKDAY(DATE(Jahr,4,1),2)+1)+14)=4,MONTH((DATE(Jahr,4,1)-WEEKDAY(DATE(Jahr,4,1),2)+1)+14+6)=4),_xlfn.ISOWEEKNUM((DATE(Jahr,4,1)-WEEKDAY(DATE(Jahr,4,1),2)+1)+14),"")</f>
        <v>15</v>
      </c>
      <c r="B12" s="37">
        <f>IF(MONTH((DATE(Jahr,4,1)-WEEKDAY(DATE(Jahr,4,1),2)+1)+14)=4,(DATE(Jahr,4,1)-WEEKDAY(DATE(Jahr,4,1),2)+1)+14,"")</f>
        <v>46489</v>
      </c>
      <c r="C12" s="37">
        <f>IF(MONTH((DATE(Jahr,4,1)-WEEKDAY(DATE(Jahr,4,1),2)+1)+15)=4,(DATE(Jahr,4,1)-WEEKDAY(DATE(Jahr,4,1),2)+1)+15,"")</f>
        <v>46490</v>
      </c>
      <c r="D12" s="37">
        <f>IF(MONTH((DATE(Jahr,4,1)-WEEKDAY(DATE(Jahr,4,1),2)+1)+16)=4,(DATE(Jahr,4,1)-WEEKDAY(DATE(Jahr,4,1),2)+1)+16,"")</f>
        <v>46491</v>
      </c>
      <c r="E12" s="37">
        <f>IF(MONTH((DATE(Jahr,4,1)-WEEKDAY(DATE(Jahr,4,1),2)+1)+17)=4,(DATE(Jahr,4,1)-WEEKDAY(DATE(Jahr,4,1),2)+1)+17,"")</f>
        <v>46492</v>
      </c>
      <c r="F12" s="37">
        <f>IF(MONTH((DATE(Jahr,4,1)-WEEKDAY(DATE(Jahr,4,1),2)+1)+18)=4,(DATE(Jahr,4,1)-WEEKDAY(DATE(Jahr,4,1),2)+1)+18,"")</f>
        <v>46493</v>
      </c>
      <c r="G12" s="38">
        <f>IF(MONTH((DATE(Jahr,4,1)-WEEKDAY(DATE(Jahr,4,1),2)+1)+19)=4,(DATE(Jahr,4,1)-WEEKDAY(DATE(Jahr,4,1),2)+1)+19,"")</f>
        <v>46494</v>
      </c>
      <c r="H12" s="38">
        <f>IF(MONTH((DATE(Jahr,4,1)-WEEKDAY(DATE(Jahr,4,1),2)+1)+20)=4,(DATE(Jahr,4,1)-WEEKDAY(DATE(Jahr,4,1),2)+1)+20,"")</f>
        <v>46495</v>
      </c>
      <c r="J12" s="39"/>
    </row>
    <row r="13" spans="1:10" ht="27.95" customHeight="1" x14ac:dyDescent="0.25">
      <c r="A13" s="82"/>
      <c r="B13" s="40" t="str">
        <f t="shared" ref="B13:H13" si="2">IF(ISNUMBER(B12),IF(IFERROR(INDEX(FT_Name,MATCH(B12,Feiertage_aktiv,0)),"")="",IFERROR(INDEX(BT_Name,MATCH(B12,BT_Datum,0)),""),IF(IFERROR(INDEX(BT_Name,MATCH(B12,BT_Datum,0)),"")="",IFERROR(INDEX(FT_Name,MATCH(B12,Feiertage_aktiv,0)),""),IF(LEFT(IFERROR(INDEX(BT_Name,MATCH(B12,BT_Datum,0)),""),LEN(IFERROR(INDEX(FT_Name,MATCH(B12,Feiertage_aktiv,0)),"")))=IFERROR(INDEX(FT_Name,MATCH(B12,Feiertage_aktiv,0)),""),IFERROR(INDEX(BT_Name,MATCH(B12,BT_Datum,0)),""),IFERROR(INDEX(FT_Name,MATCH(B12,Feiertage_aktiv,0)),"")&amp;" · "&amp;IFERROR(INDEX(BT_Name,MATCH(B12,BT_Datum,0)),"")))),"")</f>
        <v/>
      </c>
      <c r="C13" s="40" t="str">
        <f t="shared" si="2"/>
        <v/>
      </c>
      <c r="D13" s="40" t="str">
        <f t="shared" si="2"/>
        <v/>
      </c>
      <c r="E13" s="40" t="str">
        <f t="shared" si="2"/>
        <v/>
      </c>
      <c r="F13" s="40" t="str">
        <f t="shared" si="2"/>
        <v/>
      </c>
      <c r="G13" s="41" t="str">
        <f t="shared" si="2"/>
        <v/>
      </c>
      <c r="H13" s="41" t="str">
        <f t="shared" si="2"/>
        <v/>
      </c>
      <c r="J13" s="39"/>
    </row>
    <row r="14" spans="1:10" ht="21.95" customHeight="1" x14ac:dyDescent="0.25">
      <c r="A14" s="82"/>
      <c r="B14" s="42"/>
      <c r="C14" s="42"/>
      <c r="D14" s="42"/>
      <c r="E14" s="42"/>
      <c r="F14" s="42"/>
      <c r="G14" s="43"/>
      <c r="H14" s="43"/>
      <c r="J14" s="39"/>
    </row>
    <row r="15" spans="1:10" ht="23.1" customHeight="1" x14ac:dyDescent="0.25">
      <c r="A15" s="83"/>
      <c r="B15" s="44"/>
      <c r="C15" s="44"/>
      <c r="D15" s="44"/>
      <c r="E15" s="44"/>
      <c r="F15" s="44"/>
      <c r="G15" s="45"/>
      <c r="H15" s="45"/>
      <c r="J15" s="46"/>
    </row>
    <row r="16" spans="1:10" ht="24.95" customHeight="1" x14ac:dyDescent="0.25">
      <c r="A16" s="81">
        <f>IF(OR(MONTH((DATE(Jahr,4,1)-WEEKDAY(DATE(Jahr,4,1),2)+1)+21)=4,MONTH((DATE(Jahr,4,1)-WEEKDAY(DATE(Jahr,4,1),2)+1)+21+6)=4),_xlfn.ISOWEEKNUM((DATE(Jahr,4,1)-WEEKDAY(DATE(Jahr,4,1),2)+1)+21),"")</f>
        <v>16</v>
      </c>
      <c r="B16" s="37">
        <f>IF(MONTH((DATE(Jahr,4,1)-WEEKDAY(DATE(Jahr,4,1),2)+1)+21)=4,(DATE(Jahr,4,1)-WEEKDAY(DATE(Jahr,4,1),2)+1)+21,"")</f>
        <v>46496</v>
      </c>
      <c r="C16" s="37">
        <f>IF(MONTH((DATE(Jahr,4,1)-WEEKDAY(DATE(Jahr,4,1),2)+1)+22)=4,(DATE(Jahr,4,1)-WEEKDAY(DATE(Jahr,4,1),2)+1)+22,"")</f>
        <v>46497</v>
      </c>
      <c r="D16" s="37">
        <f>IF(MONTH((DATE(Jahr,4,1)-WEEKDAY(DATE(Jahr,4,1),2)+1)+23)=4,(DATE(Jahr,4,1)-WEEKDAY(DATE(Jahr,4,1),2)+1)+23,"")</f>
        <v>46498</v>
      </c>
      <c r="E16" s="37">
        <f>IF(MONTH((DATE(Jahr,4,1)-WEEKDAY(DATE(Jahr,4,1),2)+1)+24)=4,(DATE(Jahr,4,1)-WEEKDAY(DATE(Jahr,4,1),2)+1)+24,"")</f>
        <v>46499</v>
      </c>
      <c r="F16" s="37">
        <f>IF(MONTH((DATE(Jahr,4,1)-WEEKDAY(DATE(Jahr,4,1),2)+1)+25)=4,(DATE(Jahr,4,1)-WEEKDAY(DATE(Jahr,4,1),2)+1)+25,"")</f>
        <v>46500</v>
      </c>
      <c r="G16" s="38">
        <f>IF(MONTH((DATE(Jahr,4,1)-WEEKDAY(DATE(Jahr,4,1),2)+1)+26)=4,(DATE(Jahr,4,1)-WEEKDAY(DATE(Jahr,4,1),2)+1)+26,"")</f>
        <v>46501</v>
      </c>
      <c r="H16" s="38">
        <f>IF(MONTH((DATE(Jahr,4,1)-WEEKDAY(DATE(Jahr,4,1),2)+1)+27)=4,(DATE(Jahr,4,1)-WEEKDAY(DATE(Jahr,4,1),2)+1)+27,"")</f>
        <v>46502</v>
      </c>
      <c r="J16" s="39"/>
    </row>
    <row r="17" spans="1:10" ht="27.95" customHeight="1" x14ac:dyDescent="0.25">
      <c r="A17" s="82"/>
      <c r="B17" s="40" t="str">
        <f t="shared" ref="B17:H17" si="3">IF(ISNUMBER(B16),IF(IFERROR(INDEX(FT_Name,MATCH(B16,Feiertage_aktiv,0)),"")="",IFERROR(INDEX(BT_Name,MATCH(B16,BT_Datum,0)),""),IF(IFERROR(INDEX(BT_Name,MATCH(B16,BT_Datum,0)),"")="",IFERROR(INDEX(FT_Name,MATCH(B16,Feiertage_aktiv,0)),""),IF(LEFT(IFERROR(INDEX(BT_Name,MATCH(B16,BT_Datum,0)),""),LEN(IFERROR(INDEX(FT_Name,MATCH(B16,Feiertage_aktiv,0)),"")))=IFERROR(INDEX(FT_Name,MATCH(B16,Feiertage_aktiv,0)),""),IFERROR(INDEX(BT_Name,MATCH(B16,BT_Datum,0)),""),IFERROR(INDEX(FT_Name,MATCH(B16,Feiertage_aktiv,0)),"")&amp;" · "&amp;IFERROR(INDEX(BT_Name,MATCH(B16,BT_Datum,0)),"")))),"")</f>
        <v/>
      </c>
      <c r="C17" s="40" t="str">
        <f t="shared" si="3"/>
        <v/>
      </c>
      <c r="D17" s="40" t="str">
        <f t="shared" si="3"/>
        <v/>
      </c>
      <c r="E17" s="40" t="str">
        <f t="shared" si="3"/>
        <v/>
      </c>
      <c r="F17" s="40" t="str">
        <f t="shared" si="3"/>
        <v/>
      </c>
      <c r="G17" s="41" t="str">
        <f t="shared" si="3"/>
        <v/>
      </c>
      <c r="H17" s="41" t="str">
        <f t="shared" si="3"/>
        <v/>
      </c>
      <c r="J17" s="39"/>
    </row>
    <row r="18" spans="1:10" ht="21.95" customHeight="1" x14ac:dyDescent="0.25">
      <c r="A18" s="82"/>
      <c r="B18" s="42"/>
      <c r="C18" s="42"/>
      <c r="D18" s="42"/>
      <c r="E18" s="42"/>
      <c r="F18" s="42"/>
      <c r="G18" s="43"/>
      <c r="H18" s="43"/>
      <c r="J18" s="39"/>
    </row>
    <row r="19" spans="1:10" ht="23.1" customHeight="1" x14ac:dyDescent="0.25">
      <c r="A19" s="83"/>
      <c r="B19" s="44"/>
      <c r="C19" s="44"/>
      <c r="D19" s="44"/>
      <c r="E19" s="44"/>
      <c r="F19" s="44"/>
      <c r="G19" s="45"/>
      <c r="H19" s="45"/>
      <c r="J19" s="46"/>
    </row>
    <row r="20" spans="1:10" ht="24.95" customHeight="1" x14ac:dyDescent="0.25">
      <c r="A20" s="81">
        <f>IF(OR(MONTH((DATE(Jahr,4,1)-WEEKDAY(DATE(Jahr,4,1),2)+1)+28)=4,MONTH((DATE(Jahr,4,1)-WEEKDAY(DATE(Jahr,4,1),2)+1)+28+6)=4),_xlfn.ISOWEEKNUM((DATE(Jahr,4,1)-WEEKDAY(DATE(Jahr,4,1),2)+1)+28),"")</f>
        <v>17</v>
      </c>
      <c r="B20" s="37">
        <f>IF(MONTH((DATE(Jahr,4,1)-WEEKDAY(DATE(Jahr,4,1),2)+1)+28)=4,(DATE(Jahr,4,1)-WEEKDAY(DATE(Jahr,4,1),2)+1)+28,"")</f>
        <v>46503</v>
      </c>
      <c r="C20" s="37">
        <f>IF(MONTH((DATE(Jahr,4,1)-WEEKDAY(DATE(Jahr,4,1),2)+1)+29)=4,(DATE(Jahr,4,1)-WEEKDAY(DATE(Jahr,4,1),2)+1)+29,"")</f>
        <v>46504</v>
      </c>
      <c r="D20" s="37">
        <f>IF(MONTH((DATE(Jahr,4,1)-WEEKDAY(DATE(Jahr,4,1),2)+1)+30)=4,(DATE(Jahr,4,1)-WEEKDAY(DATE(Jahr,4,1),2)+1)+30,"")</f>
        <v>46505</v>
      </c>
      <c r="E20" s="37">
        <f>IF(MONTH((DATE(Jahr,4,1)-WEEKDAY(DATE(Jahr,4,1),2)+1)+31)=4,(DATE(Jahr,4,1)-WEEKDAY(DATE(Jahr,4,1),2)+1)+31,"")</f>
        <v>46506</v>
      </c>
      <c r="F20" s="37">
        <f>IF(MONTH((DATE(Jahr,4,1)-WEEKDAY(DATE(Jahr,4,1),2)+1)+32)=4,(DATE(Jahr,4,1)-WEEKDAY(DATE(Jahr,4,1),2)+1)+32,"")</f>
        <v>46507</v>
      </c>
      <c r="G20" s="38" t="str">
        <f>IF(MONTH((DATE(Jahr,4,1)-WEEKDAY(DATE(Jahr,4,1),2)+1)+33)=4,(DATE(Jahr,4,1)-WEEKDAY(DATE(Jahr,4,1),2)+1)+33,"")</f>
        <v/>
      </c>
      <c r="H20" s="38" t="str">
        <f>IF(MONTH((DATE(Jahr,4,1)-WEEKDAY(DATE(Jahr,4,1),2)+1)+34)=4,(DATE(Jahr,4,1)-WEEKDAY(DATE(Jahr,4,1),2)+1)+34,"")</f>
        <v/>
      </c>
      <c r="J20" s="39"/>
    </row>
    <row r="21" spans="1:10" ht="27.95" customHeight="1" x14ac:dyDescent="0.25">
      <c r="A21" s="82"/>
      <c r="B21" s="40" t="str">
        <f t="shared" ref="B21:H21" si="4">IF(ISNUMBER(B20),IF(IFERROR(INDEX(FT_Name,MATCH(B20,Feiertage_aktiv,0)),"")="",IFERROR(INDEX(BT_Name,MATCH(B20,BT_Datum,0)),""),IF(IFERROR(INDEX(BT_Name,MATCH(B20,BT_Datum,0)),"")="",IFERROR(INDEX(FT_Name,MATCH(B20,Feiertage_aktiv,0)),""),IF(LEFT(IFERROR(INDEX(BT_Name,MATCH(B20,BT_Datum,0)),""),LEN(IFERROR(INDEX(FT_Name,MATCH(B20,Feiertage_aktiv,0)),"")))=IFERROR(INDEX(FT_Name,MATCH(B20,Feiertage_aktiv,0)),""),IFERROR(INDEX(BT_Name,MATCH(B20,BT_Datum,0)),""),IFERROR(INDEX(FT_Name,MATCH(B20,Feiertage_aktiv,0)),"")&amp;" · "&amp;IFERROR(INDEX(BT_Name,MATCH(B20,BT_Datum,0)),"")))),"")</f>
        <v/>
      </c>
      <c r="C21" s="40" t="str">
        <f t="shared" si="4"/>
        <v/>
      </c>
      <c r="D21" s="40" t="str">
        <f t="shared" si="4"/>
        <v/>
      </c>
      <c r="E21" s="40" t="str">
        <f t="shared" si="4"/>
        <v/>
      </c>
      <c r="F21" s="40" t="str">
        <f t="shared" si="4"/>
        <v/>
      </c>
      <c r="G21" s="41" t="str">
        <f t="shared" si="4"/>
        <v/>
      </c>
      <c r="H21" s="41" t="str">
        <f t="shared" si="4"/>
        <v/>
      </c>
      <c r="J21" s="39"/>
    </row>
    <row r="22" spans="1:10" ht="21.95" customHeight="1" x14ac:dyDescent="0.25">
      <c r="A22" s="82"/>
      <c r="B22" s="42"/>
      <c r="C22" s="42"/>
      <c r="D22" s="42"/>
      <c r="E22" s="42"/>
      <c r="F22" s="42"/>
      <c r="G22" s="43"/>
      <c r="H22" s="43"/>
      <c r="J22" s="39"/>
    </row>
    <row r="23" spans="1:10" ht="23.1" customHeight="1" x14ac:dyDescent="0.25">
      <c r="A23" s="83"/>
      <c r="B23" s="44"/>
      <c r="C23" s="44"/>
      <c r="D23" s="44"/>
      <c r="E23" s="44"/>
      <c r="F23" s="44"/>
      <c r="G23" s="45"/>
      <c r="H23" s="45"/>
      <c r="J23" s="46"/>
    </row>
    <row r="24" spans="1:10" ht="24.95" customHeight="1" x14ac:dyDescent="0.25">
      <c r="A24" s="81" t="str">
        <f>IF(OR(MONTH((DATE(Jahr,4,1)-WEEKDAY(DATE(Jahr,4,1),2)+1)+35)=4,MONTH((DATE(Jahr,4,1)-WEEKDAY(DATE(Jahr,4,1),2)+1)+35+6)=4),_xlfn.ISOWEEKNUM((DATE(Jahr,4,1)-WEEKDAY(DATE(Jahr,4,1),2)+1)+35),"")</f>
        <v/>
      </c>
      <c r="B24" s="37" t="str">
        <f>IF(MONTH((DATE(Jahr,4,1)-WEEKDAY(DATE(Jahr,4,1),2)+1)+35)=4,(DATE(Jahr,4,1)-WEEKDAY(DATE(Jahr,4,1),2)+1)+35,"")</f>
        <v/>
      </c>
      <c r="C24" s="37" t="str">
        <f>IF(MONTH((DATE(Jahr,4,1)-WEEKDAY(DATE(Jahr,4,1),2)+1)+36)=4,(DATE(Jahr,4,1)-WEEKDAY(DATE(Jahr,4,1),2)+1)+36,"")</f>
        <v/>
      </c>
      <c r="D24" s="37" t="str">
        <f>IF(MONTH((DATE(Jahr,4,1)-WEEKDAY(DATE(Jahr,4,1),2)+1)+37)=4,(DATE(Jahr,4,1)-WEEKDAY(DATE(Jahr,4,1),2)+1)+37,"")</f>
        <v/>
      </c>
      <c r="E24" s="37" t="str">
        <f>IF(MONTH((DATE(Jahr,4,1)-WEEKDAY(DATE(Jahr,4,1),2)+1)+38)=4,(DATE(Jahr,4,1)-WEEKDAY(DATE(Jahr,4,1),2)+1)+38,"")</f>
        <v/>
      </c>
      <c r="F24" s="37" t="str">
        <f>IF(MONTH((DATE(Jahr,4,1)-WEEKDAY(DATE(Jahr,4,1),2)+1)+39)=4,(DATE(Jahr,4,1)-WEEKDAY(DATE(Jahr,4,1),2)+1)+39,"")</f>
        <v/>
      </c>
      <c r="G24" s="38" t="str">
        <f>IF(MONTH((DATE(Jahr,4,1)-WEEKDAY(DATE(Jahr,4,1),2)+1)+40)=4,(DATE(Jahr,4,1)-WEEKDAY(DATE(Jahr,4,1),2)+1)+40,"")</f>
        <v/>
      </c>
      <c r="H24" s="38" t="str">
        <f>IF(MONTH((DATE(Jahr,4,1)-WEEKDAY(DATE(Jahr,4,1),2)+1)+41)=4,(DATE(Jahr,4,1)-WEEKDAY(DATE(Jahr,4,1),2)+1)+41,"")</f>
        <v/>
      </c>
      <c r="J24" s="39"/>
    </row>
    <row r="25" spans="1:10" ht="27.95" customHeight="1" x14ac:dyDescent="0.25">
      <c r="A25" s="82"/>
      <c r="B25" s="40" t="str">
        <f t="shared" ref="B25:H25" si="5">IF(ISNUMBER(B24),IF(IFERROR(INDEX(FT_Name,MATCH(B24,Feiertage_aktiv,0)),"")="",IFERROR(INDEX(BT_Name,MATCH(B24,BT_Datum,0)),""),IF(IFERROR(INDEX(BT_Name,MATCH(B24,BT_Datum,0)),"")="",IFERROR(INDEX(FT_Name,MATCH(B24,Feiertage_aktiv,0)),""),IF(LEFT(IFERROR(INDEX(BT_Name,MATCH(B24,BT_Datum,0)),""),LEN(IFERROR(INDEX(FT_Name,MATCH(B24,Feiertage_aktiv,0)),"")))=IFERROR(INDEX(FT_Name,MATCH(B24,Feiertage_aktiv,0)),""),IFERROR(INDEX(BT_Name,MATCH(B24,BT_Datum,0)),""),IFERROR(INDEX(FT_Name,MATCH(B24,Feiertage_aktiv,0)),"")&amp;" · "&amp;IFERROR(INDEX(BT_Name,MATCH(B24,BT_Datum,0)),"")))),"")</f>
        <v/>
      </c>
      <c r="C25" s="40" t="str">
        <f t="shared" si="5"/>
        <v/>
      </c>
      <c r="D25" s="40" t="str">
        <f t="shared" si="5"/>
        <v/>
      </c>
      <c r="E25" s="40" t="str">
        <f t="shared" si="5"/>
        <v/>
      </c>
      <c r="F25" s="40" t="str">
        <f t="shared" si="5"/>
        <v/>
      </c>
      <c r="G25" s="41" t="str">
        <f t="shared" si="5"/>
        <v/>
      </c>
      <c r="H25" s="41" t="str">
        <f t="shared" si="5"/>
        <v/>
      </c>
      <c r="J25" s="39"/>
    </row>
    <row r="26" spans="1:10" ht="21.95" customHeight="1" x14ac:dyDescent="0.25">
      <c r="A26" s="82"/>
      <c r="B26" s="42"/>
      <c r="C26" s="42"/>
      <c r="D26" s="42"/>
      <c r="E26" s="42"/>
      <c r="F26" s="42"/>
      <c r="G26" s="43"/>
      <c r="H26" s="43"/>
      <c r="J26" s="39"/>
    </row>
    <row r="27" spans="1:10" ht="23.1" customHeight="1" x14ac:dyDescent="0.25">
      <c r="A27" s="83"/>
      <c r="B27" s="44"/>
      <c r="C27" s="44"/>
      <c r="D27" s="44"/>
      <c r="E27" s="44"/>
      <c r="F27" s="44"/>
      <c r="G27" s="45"/>
      <c r="H27" s="45"/>
      <c r="J27" s="46"/>
    </row>
    <row r="28" spans="1:10" ht="15.95" customHeight="1" x14ac:dyDescent="0.25">
      <c r="A28" s="47" t="str">
        <f>"Rot: gesetzlicher Feiertag in "&amp;Bundesland&amp;". Grau: besondere Tage ohne Feiertag. Jahr und Bundesland ändern Sie im Blatt Jahreskalender."</f>
        <v>Rot: gesetzlicher Feiertag in Nordrhein-Westfalen. Grau: besondere Tage ohne Feiertag. Jahr und Bundesland ändern Sie im Blatt Jahreskalender.</v>
      </c>
    </row>
  </sheetData>
  <mergeCells count="6">
    <mergeCell ref="A4:A7"/>
    <mergeCell ref="A8:A11"/>
    <mergeCell ref="A12:A15"/>
    <mergeCell ref="A20:A23"/>
    <mergeCell ref="A24:A27"/>
    <mergeCell ref="A16:A19"/>
  </mergeCells>
  <conditionalFormatting sqref="B4:H7">
    <cfRule type="expression" dxfId="112" priority="1" stopIfTrue="1">
      <formula>B$4=""</formula>
    </cfRule>
    <cfRule type="expression" dxfId="111" priority="2">
      <formula>AND(ISNUMBER(B$4),COUNTIF(Feiertage_aktiv,B$4)&gt;0)</formula>
    </cfRule>
  </conditionalFormatting>
  <conditionalFormatting sqref="B8:H11">
    <cfRule type="expression" dxfId="110" priority="3" stopIfTrue="1">
      <formula>B$8=""</formula>
    </cfRule>
    <cfRule type="expression" dxfId="109" priority="4">
      <formula>AND(ISNUMBER(B$8),COUNTIF(Feiertage_aktiv,B$8)&gt;0)</formula>
    </cfRule>
  </conditionalFormatting>
  <conditionalFormatting sqref="B12:H15">
    <cfRule type="expression" dxfId="108" priority="5" stopIfTrue="1">
      <formula>B$12=""</formula>
    </cfRule>
    <cfRule type="expression" dxfId="107" priority="6">
      <formula>AND(ISNUMBER(B$12),COUNTIF(Feiertage_aktiv,B$12)&gt;0)</formula>
    </cfRule>
  </conditionalFormatting>
  <conditionalFormatting sqref="B16:H19">
    <cfRule type="expression" dxfId="106" priority="7" stopIfTrue="1">
      <formula>B$16=""</formula>
    </cfRule>
    <cfRule type="expression" dxfId="105" priority="8">
      <formula>AND(ISNUMBER(B$16),COUNTIF(Feiertage_aktiv,B$16)&gt;0)</formula>
    </cfRule>
  </conditionalFormatting>
  <conditionalFormatting sqref="B20:H23">
    <cfRule type="expression" dxfId="104" priority="9" stopIfTrue="1">
      <formula>B$20=""</formula>
    </cfRule>
    <cfRule type="expression" dxfId="103" priority="10">
      <formula>AND(ISNUMBER(B$20),COUNTIF(Feiertage_aktiv,B$20)&gt;0)</formula>
    </cfRule>
  </conditionalFormatting>
  <conditionalFormatting sqref="B24:H27">
    <cfRule type="expression" dxfId="102" priority="11" stopIfTrue="1">
      <formula>B$24=""</formula>
    </cfRule>
    <cfRule type="expression" dxfId="101" priority="12">
      <formula>AND(ISNUMBER(B$24),COUNTIF(Feiertage_aktiv,B$24)&gt;0)</formula>
    </cfRule>
  </conditionalFormatting>
  <printOptions horizontalCentered="1"/>
  <pageMargins left="0.4" right="0.4" top="0.45" bottom="0.55000000000000004" header="0.2" footer="0.25"/>
  <pageSetup paperSize="9" orientation="landscape"/>
  <headerFooter>
    <oddFooter>&amp;C&amp;8 &amp;K686E70Vorlage von seminaron.de&amp;R&amp;8 &amp;K686E70&amp;A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8"/>
  <sheetViews>
    <sheetView showGridLines="0" zoomScale="85" workbookViewId="0"/>
  </sheetViews>
  <sheetFormatPr baseColWidth="10" defaultColWidth="9.140625" defaultRowHeight="15" x14ac:dyDescent="0.25"/>
  <cols>
    <col min="1" max="1" width="5.42578125" customWidth="1"/>
    <col min="2" max="8" width="19.42578125" customWidth="1"/>
    <col min="9" max="9" width="1.42578125" customWidth="1"/>
    <col min="10" max="10" width="30" customWidth="1"/>
  </cols>
  <sheetData>
    <row r="1" spans="1:10" ht="36" customHeight="1" x14ac:dyDescent="0.25">
      <c r="A1" s="34" t="str">
        <f>"Mai "&amp;Jahr</f>
        <v>Mai 2027</v>
      </c>
    </row>
    <row r="2" spans="1:10" ht="18" customHeight="1" x14ac:dyDescent="0.25">
      <c r="A2" s="20" t="str">
        <f>"Feiertage: "&amp;Bundesland&amp;" · Arbeitstage Montag bis Freitag: "&amp;NETWORKDAYS(DATE(Jahr,5,1),DATE(Jahr,6,0),Feiertage_aktiv)</f>
        <v>Feiertage: Nordrhein-Westfalen · Arbeitstage Montag bis Freitag: 18</v>
      </c>
    </row>
    <row r="3" spans="1:10" ht="21" customHeight="1" x14ac:dyDescent="0.25">
      <c r="A3" s="35" t="s">
        <v>7</v>
      </c>
      <c r="B3" s="35" t="s">
        <v>56</v>
      </c>
      <c r="C3" s="35" t="s">
        <v>57</v>
      </c>
      <c r="D3" s="35" t="s">
        <v>58</v>
      </c>
      <c r="E3" s="35" t="s">
        <v>59</v>
      </c>
      <c r="F3" s="35" t="s">
        <v>60</v>
      </c>
      <c r="G3" s="36" t="s">
        <v>61</v>
      </c>
      <c r="H3" s="36" t="s">
        <v>62</v>
      </c>
      <c r="J3" s="35" t="s">
        <v>63</v>
      </c>
    </row>
    <row r="4" spans="1:10" ht="24.95" customHeight="1" x14ac:dyDescent="0.25">
      <c r="A4" s="81">
        <f>IF(OR(MONTH((DATE(Jahr,5,1)-WEEKDAY(DATE(Jahr,5,1),2)+1)+0)=5,MONTH((DATE(Jahr,5,1)-WEEKDAY(DATE(Jahr,5,1),2)+1)+0+6)=5),_xlfn.ISOWEEKNUM((DATE(Jahr,5,1)-WEEKDAY(DATE(Jahr,5,1),2)+1)+0),"")</f>
        <v>17</v>
      </c>
      <c r="B4" s="37" t="str">
        <f>IF(MONTH((DATE(Jahr,5,1)-WEEKDAY(DATE(Jahr,5,1),2)+1)+0)=5,(DATE(Jahr,5,1)-WEEKDAY(DATE(Jahr,5,1),2)+1)+0,"")</f>
        <v/>
      </c>
      <c r="C4" s="37" t="str">
        <f>IF(MONTH((DATE(Jahr,5,1)-WEEKDAY(DATE(Jahr,5,1),2)+1)+1)=5,(DATE(Jahr,5,1)-WEEKDAY(DATE(Jahr,5,1),2)+1)+1,"")</f>
        <v/>
      </c>
      <c r="D4" s="37" t="str">
        <f>IF(MONTH((DATE(Jahr,5,1)-WEEKDAY(DATE(Jahr,5,1),2)+1)+2)=5,(DATE(Jahr,5,1)-WEEKDAY(DATE(Jahr,5,1),2)+1)+2,"")</f>
        <v/>
      </c>
      <c r="E4" s="37" t="str">
        <f>IF(MONTH((DATE(Jahr,5,1)-WEEKDAY(DATE(Jahr,5,1),2)+1)+3)=5,(DATE(Jahr,5,1)-WEEKDAY(DATE(Jahr,5,1),2)+1)+3,"")</f>
        <v/>
      </c>
      <c r="F4" s="37" t="str">
        <f>IF(MONTH((DATE(Jahr,5,1)-WEEKDAY(DATE(Jahr,5,1),2)+1)+4)=5,(DATE(Jahr,5,1)-WEEKDAY(DATE(Jahr,5,1),2)+1)+4,"")</f>
        <v/>
      </c>
      <c r="G4" s="38">
        <f>IF(MONTH((DATE(Jahr,5,1)-WEEKDAY(DATE(Jahr,5,1),2)+1)+5)=5,(DATE(Jahr,5,1)-WEEKDAY(DATE(Jahr,5,1),2)+1)+5,"")</f>
        <v>46508</v>
      </c>
      <c r="H4" s="38">
        <f>IF(MONTH((DATE(Jahr,5,1)-WEEKDAY(DATE(Jahr,5,1),2)+1)+6)=5,(DATE(Jahr,5,1)-WEEKDAY(DATE(Jahr,5,1),2)+1)+6,"")</f>
        <v>46509</v>
      </c>
      <c r="J4" s="39"/>
    </row>
    <row r="5" spans="1:10" ht="27.95" customHeight="1" x14ac:dyDescent="0.25">
      <c r="A5" s="82"/>
      <c r="B5" s="40" t="str">
        <f t="shared" ref="B5:H5" si="0">IF(ISNUMBER(B4),IF(IFERROR(INDEX(FT_Name,MATCH(B4,Feiertage_aktiv,0)),"")="",IFERROR(INDEX(BT_Name,MATCH(B4,BT_Datum,0)),""),IF(IFERROR(INDEX(BT_Name,MATCH(B4,BT_Datum,0)),"")="",IFERROR(INDEX(FT_Name,MATCH(B4,Feiertage_aktiv,0)),""),IF(LEFT(IFERROR(INDEX(BT_Name,MATCH(B4,BT_Datum,0)),""),LEN(IFERROR(INDEX(FT_Name,MATCH(B4,Feiertage_aktiv,0)),"")))=IFERROR(INDEX(FT_Name,MATCH(B4,Feiertage_aktiv,0)),""),IFERROR(INDEX(BT_Name,MATCH(B4,BT_Datum,0)),""),IFERROR(INDEX(FT_Name,MATCH(B4,Feiertage_aktiv,0)),"")&amp;" · "&amp;IFERROR(INDEX(BT_Name,MATCH(B4,BT_Datum,0)),"")))),"")</f>
        <v/>
      </c>
      <c r="C5" s="40" t="str">
        <f t="shared" si="0"/>
        <v/>
      </c>
      <c r="D5" s="40" t="str">
        <f t="shared" si="0"/>
        <v/>
      </c>
      <c r="E5" s="40" t="str">
        <f t="shared" si="0"/>
        <v/>
      </c>
      <c r="F5" s="40" t="str">
        <f t="shared" si="0"/>
        <v/>
      </c>
      <c r="G5" s="41" t="str">
        <f t="shared" si="0"/>
        <v>Tag der Arbeit</v>
      </c>
      <c r="H5" s="41" t="str">
        <f t="shared" si="0"/>
        <v/>
      </c>
      <c r="J5" s="39"/>
    </row>
    <row r="6" spans="1:10" ht="21.95" customHeight="1" x14ac:dyDescent="0.25">
      <c r="A6" s="82"/>
      <c r="B6" s="42"/>
      <c r="C6" s="42"/>
      <c r="D6" s="42"/>
      <c r="E6" s="42"/>
      <c r="F6" s="42"/>
      <c r="G6" s="43"/>
      <c r="H6" s="43"/>
      <c r="J6" s="39"/>
    </row>
    <row r="7" spans="1:10" ht="23.1" customHeight="1" x14ac:dyDescent="0.25">
      <c r="A7" s="83"/>
      <c r="B7" s="44"/>
      <c r="C7" s="44"/>
      <c r="D7" s="44"/>
      <c r="E7" s="44"/>
      <c r="F7" s="44"/>
      <c r="G7" s="45"/>
      <c r="H7" s="45"/>
      <c r="J7" s="46"/>
    </row>
    <row r="8" spans="1:10" ht="24.95" customHeight="1" x14ac:dyDescent="0.25">
      <c r="A8" s="81">
        <f>IF(OR(MONTH((DATE(Jahr,5,1)-WEEKDAY(DATE(Jahr,5,1),2)+1)+7)=5,MONTH((DATE(Jahr,5,1)-WEEKDAY(DATE(Jahr,5,1),2)+1)+7+6)=5),_xlfn.ISOWEEKNUM((DATE(Jahr,5,1)-WEEKDAY(DATE(Jahr,5,1),2)+1)+7),"")</f>
        <v>18</v>
      </c>
      <c r="B8" s="37">
        <f>IF(MONTH((DATE(Jahr,5,1)-WEEKDAY(DATE(Jahr,5,1),2)+1)+7)=5,(DATE(Jahr,5,1)-WEEKDAY(DATE(Jahr,5,1),2)+1)+7,"")</f>
        <v>46510</v>
      </c>
      <c r="C8" s="37">
        <f>IF(MONTH((DATE(Jahr,5,1)-WEEKDAY(DATE(Jahr,5,1),2)+1)+8)=5,(DATE(Jahr,5,1)-WEEKDAY(DATE(Jahr,5,1),2)+1)+8,"")</f>
        <v>46511</v>
      </c>
      <c r="D8" s="37">
        <f>IF(MONTH((DATE(Jahr,5,1)-WEEKDAY(DATE(Jahr,5,1),2)+1)+9)=5,(DATE(Jahr,5,1)-WEEKDAY(DATE(Jahr,5,1),2)+1)+9,"")</f>
        <v>46512</v>
      </c>
      <c r="E8" s="37">
        <f>IF(MONTH((DATE(Jahr,5,1)-WEEKDAY(DATE(Jahr,5,1),2)+1)+10)=5,(DATE(Jahr,5,1)-WEEKDAY(DATE(Jahr,5,1),2)+1)+10,"")</f>
        <v>46513</v>
      </c>
      <c r="F8" s="37">
        <f>IF(MONTH((DATE(Jahr,5,1)-WEEKDAY(DATE(Jahr,5,1),2)+1)+11)=5,(DATE(Jahr,5,1)-WEEKDAY(DATE(Jahr,5,1),2)+1)+11,"")</f>
        <v>46514</v>
      </c>
      <c r="G8" s="38">
        <f>IF(MONTH((DATE(Jahr,5,1)-WEEKDAY(DATE(Jahr,5,1),2)+1)+12)=5,(DATE(Jahr,5,1)-WEEKDAY(DATE(Jahr,5,1),2)+1)+12,"")</f>
        <v>46515</v>
      </c>
      <c r="H8" s="38">
        <f>IF(MONTH((DATE(Jahr,5,1)-WEEKDAY(DATE(Jahr,5,1),2)+1)+13)=5,(DATE(Jahr,5,1)-WEEKDAY(DATE(Jahr,5,1),2)+1)+13,"")</f>
        <v>46516</v>
      </c>
      <c r="J8" s="39"/>
    </row>
    <row r="9" spans="1:10" ht="27.95" customHeight="1" x14ac:dyDescent="0.25">
      <c r="A9" s="82"/>
      <c r="B9" s="40" t="str">
        <f t="shared" ref="B9:H9" si="1">IF(ISNUMBER(B8),IF(IFERROR(INDEX(FT_Name,MATCH(B8,Feiertage_aktiv,0)),"")="",IFERROR(INDEX(BT_Name,MATCH(B8,BT_Datum,0)),""),IF(IFERROR(INDEX(BT_Name,MATCH(B8,BT_Datum,0)),"")="",IFERROR(INDEX(FT_Name,MATCH(B8,Feiertage_aktiv,0)),""),IF(LEFT(IFERROR(INDEX(BT_Name,MATCH(B8,BT_Datum,0)),""),LEN(IFERROR(INDEX(FT_Name,MATCH(B8,Feiertage_aktiv,0)),"")))=IFERROR(INDEX(FT_Name,MATCH(B8,Feiertage_aktiv,0)),""),IFERROR(INDEX(BT_Name,MATCH(B8,BT_Datum,0)),""),IFERROR(INDEX(FT_Name,MATCH(B8,Feiertage_aktiv,0)),"")&amp;" · "&amp;IFERROR(INDEX(BT_Name,MATCH(B8,BT_Datum,0)),"")))),"")</f>
        <v/>
      </c>
      <c r="C9" s="40" t="str">
        <f t="shared" si="1"/>
        <v/>
      </c>
      <c r="D9" s="40" t="str">
        <f t="shared" si="1"/>
        <v/>
      </c>
      <c r="E9" s="40" t="str">
        <f t="shared" si="1"/>
        <v>Christi Himmelfahrt</v>
      </c>
      <c r="F9" s="40" t="str">
        <f t="shared" si="1"/>
        <v/>
      </c>
      <c r="G9" s="41" t="str">
        <f t="shared" si="1"/>
        <v/>
      </c>
      <c r="H9" s="41" t="str">
        <f t="shared" si="1"/>
        <v>Muttertag</v>
      </c>
      <c r="J9" s="39"/>
    </row>
    <row r="10" spans="1:10" ht="21.95" customHeight="1" x14ac:dyDescent="0.25">
      <c r="A10" s="82"/>
      <c r="B10" s="42"/>
      <c r="C10" s="42"/>
      <c r="D10" s="42"/>
      <c r="E10" s="42"/>
      <c r="F10" s="42"/>
      <c r="G10" s="43"/>
      <c r="H10" s="43"/>
      <c r="J10" s="39"/>
    </row>
    <row r="11" spans="1:10" ht="23.1" customHeight="1" x14ac:dyDescent="0.25">
      <c r="A11" s="83"/>
      <c r="B11" s="44"/>
      <c r="C11" s="44"/>
      <c r="D11" s="44"/>
      <c r="E11" s="44"/>
      <c r="F11" s="44"/>
      <c r="G11" s="45"/>
      <c r="H11" s="45"/>
      <c r="J11" s="46"/>
    </row>
    <row r="12" spans="1:10" ht="24.95" customHeight="1" x14ac:dyDescent="0.25">
      <c r="A12" s="81">
        <f>IF(OR(MONTH((DATE(Jahr,5,1)-WEEKDAY(DATE(Jahr,5,1),2)+1)+14)=5,MONTH((DATE(Jahr,5,1)-WEEKDAY(DATE(Jahr,5,1),2)+1)+14+6)=5),_xlfn.ISOWEEKNUM((DATE(Jahr,5,1)-WEEKDAY(DATE(Jahr,5,1),2)+1)+14),"")</f>
        <v>19</v>
      </c>
      <c r="B12" s="37">
        <f>IF(MONTH((DATE(Jahr,5,1)-WEEKDAY(DATE(Jahr,5,1),2)+1)+14)=5,(DATE(Jahr,5,1)-WEEKDAY(DATE(Jahr,5,1),2)+1)+14,"")</f>
        <v>46517</v>
      </c>
      <c r="C12" s="37">
        <f>IF(MONTH((DATE(Jahr,5,1)-WEEKDAY(DATE(Jahr,5,1),2)+1)+15)=5,(DATE(Jahr,5,1)-WEEKDAY(DATE(Jahr,5,1),2)+1)+15,"")</f>
        <v>46518</v>
      </c>
      <c r="D12" s="37">
        <f>IF(MONTH((DATE(Jahr,5,1)-WEEKDAY(DATE(Jahr,5,1),2)+1)+16)=5,(DATE(Jahr,5,1)-WEEKDAY(DATE(Jahr,5,1),2)+1)+16,"")</f>
        <v>46519</v>
      </c>
      <c r="E12" s="37">
        <f>IF(MONTH((DATE(Jahr,5,1)-WEEKDAY(DATE(Jahr,5,1),2)+1)+17)=5,(DATE(Jahr,5,1)-WEEKDAY(DATE(Jahr,5,1),2)+1)+17,"")</f>
        <v>46520</v>
      </c>
      <c r="F12" s="37">
        <f>IF(MONTH((DATE(Jahr,5,1)-WEEKDAY(DATE(Jahr,5,1),2)+1)+18)=5,(DATE(Jahr,5,1)-WEEKDAY(DATE(Jahr,5,1),2)+1)+18,"")</f>
        <v>46521</v>
      </c>
      <c r="G12" s="38">
        <f>IF(MONTH((DATE(Jahr,5,1)-WEEKDAY(DATE(Jahr,5,1),2)+1)+19)=5,(DATE(Jahr,5,1)-WEEKDAY(DATE(Jahr,5,1),2)+1)+19,"")</f>
        <v>46522</v>
      </c>
      <c r="H12" s="38">
        <f>IF(MONTH((DATE(Jahr,5,1)-WEEKDAY(DATE(Jahr,5,1),2)+1)+20)=5,(DATE(Jahr,5,1)-WEEKDAY(DATE(Jahr,5,1),2)+1)+20,"")</f>
        <v>46523</v>
      </c>
      <c r="J12" s="39"/>
    </row>
    <row r="13" spans="1:10" ht="27.95" customHeight="1" x14ac:dyDescent="0.25">
      <c r="A13" s="82"/>
      <c r="B13" s="40" t="str">
        <f t="shared" ref="B13:H13" si="2">IF(ISNUMBER(B12),IF(IFERROR(INDEX(FT_Name,MATCH(B12,Feiertage_aktiv,0)),"")="",IFERROR(INDEX(BT_Name,MATCH(B12,BT_Datum,0)),""),IF(IFERROR(INDEX(BT_Name,MATCH(B12,BT_Datum,0)),"")="",IFERROR(INDEX(FT_Name,MATCH(B12,Feiertage_aktiv,0)),""),IF(LEFT(IFERROR(INDEX(BT_Name,MATCH(B12,BT_Datum,0)),""),LEN(IFERROR(INDEX(FT_Name,MATCH(B12,Feiertage_aktiv,0)),"")))=IFERROR(INDEX(FT_Name,MATCH(B12,Feiertage_aktiv,0)),""),IFERROR(INDEX(BT_Name,MATCH(B12,BT_Datum,0)),""),IFERROR(INDEX(FT_Name,MATCH(B12,Feiertage_aktiv,0)),"")&amp;" · "&amp;IFERROR(INDEX(BT_Name,MATCH(B12,BT_Datum,0)),"")))),"")</f>
        <v/>
      </c>
      <c r="C13" s="40" t="str">
        <f t="shared" si="2"/>
        <v/>
      </c>
      <c r="D13" s="40" t="str">
        <f t="shared" si="2"/>
        <v/>
      </c>
      <c r="E13" s="40" t="str">
        <f t="shared" si="2"/>
        <v/>
      </c>
      <c r="F13" s="40" t="str">
        <f t="shared" si="2"/>
        <v/>
      </c>
      <c r="G13" s="41" t="str">
        <f t="shared" si="2"/>
        <v/>
      </c>
      <c r="H13" s="41" t="str">
        <f t="shared" si="2"/>
        <v>Pfingstsonntag</v>
      </c>
      <c r="J13" s="39"/>
    </row>
    <row r="14" spans="1:10" ht="21.95" customHeight="1" x14ac:dyDescent="0.25">
      <c r="A14" s="82"/>
      <c r="B14" s="42"/>
      <c r="C14" s="42"/>
      <c r="D14" s="42"/>
      <c r="E14" s="42"/>
      <c r="F14" s="42"/>
      <c r="G14" s="43"/>
      <c r="H14" s="43"/>
      <c r="J14" s="39"/>
    </row>
    <row r="15" spans="1:10" ht="23.1" customHeight="1" x14ac:dyDescent="0.25">
      <c r="A15" s="83"/>
      <c r="B15" s="44"/>
      <c r="C15" s="44"/>
      <c r="D15" s="44"/>
      <c r="E15" s="44"/>
      <c r="F15" s="44"/>
      <c r="G15" s="45"/>
      <c r="H15" s="45"/>
      <c r="J15" s="46"/>
    </row>
    <row r="16" spans="1:10" ht="24.95" customHeight="1" x14ac:dyDescent="0.25">
      <c r="A16" s="81">
        <f>IF(OR(MONTH((DATE(Jahr,5,1)-WEEKDAY(DATE(Jahr,5,1),2)+1)+21)=5,MONTH((DATE(Jahr,5,1)-WEEKDAY(DATE(Jahr,5,1),2)+1)+21+6)=5),_xlfn.ISOWEEKNUM((DATE(Jahr,5,1)-WEEKDAY(DATE(Jahr,5,1),2)+1)+21),"")</f>
        <v>20</v>
      </c>
      <c r="B16" s="37">
        <f>IF(MONTH((DATE(Jahr,5,1)-WEEKDAY(DATE(Jahr,5,1),2)+1)+21)=5,(DATE(Jahr,5,1)-WEEKDAY(DATE(Jahr,5,1),2)+1)+21,"")</f>
        <v>46524</v>
      </c>
      <c r="C16" s="37">
        <f>IF(MONTH((DATE(Jahr,5,1)-WEEKDAY(DATE(Jahr,5,1),2)+1)+22)=5,(DATE(Jahr,5,1)-WEEKDAY(DATE(Jahr,5,1),2)+1)+22,"")</f>
        <v>46525</v>
      </c>
      <c r="D16" s="37">
        <f>IF(MONTH((DATE(Jahr,5,1)-WEEKDAY(DATE(Jahr,5,1),2)+1)+23)=5,(DATE(Jahr,5,1)-WEEKDAY(DATE(Jahr,5,1),2)+1)+23,"")</f>
        <v>46526</v>
      </c>
      <c r="E16" s="37">
        <f>IF(MONTH((DATE(Jahr,5,1)-WEEKDAY(DATE(Jahr,5,1),2)+1)+24)=5,(DATE(Jahr,5,1)-WEEKDAY(DATE(Jahr,5,1),2)+1)+24,"")</f>
        <v>46527</v>
      </c>
      <c r="F16" s="37">
        <f>IF(MONTH((DATE(Jahr,5,1)-WEEKDAY(DATE(Jahr,5,1),2)+1)+25)=5,(DATE(Jahr,5,1)-WEEKDAY(DATE(Jahr,5,1),2)+1)+25,"")</f>
        <v>46528</v>
      </c>
      <c r="G16" s="38">
        <f>IF(MONTH((DATE(Jahr,5,1)-WEEKDAY(DATE(Jahr,5,1),2)+1)+26)=5,(DATE(Jahr,5,1)-WEEKDAY(DATE(Jahr,5,1),2)+1)+26,"")</f>
        <v>46529</v>
      </c>
      <c r="H16" s="38">
        <f>IF(MONTH((DATE(Jahr,5,1)-WEEKDAY(DATE(Jahr,5,1),2)+1)+27)=5,(DATE(Jahr,5,1)-WEEKDAY(DATE(Jahr,5,1),2)+1)+27,"")</f>
        <v>46530</v>
      </c>
      <c r="J16" s="39"/>
    </row>
    <row r="17" spans="1:10" ht="27.95" customHeight="1" x14ac:dyDescent="0.25">
      <c r="A17" s="82"/>
      <c r="B17" s="40" t="str">
        <f t="shared" ref="B17:H17" si="3">IF(ISNUMBER(B16),IF(IFERROR(INDEX(FT_Name,MATCH(B16,Feiertage_aktiv,0)),"")="",IFERROR(INDEX(BT_Name,MATCH(B16,BT_Datum,0)),""),IF(IFERROR(INDEX(BT_Name,MATCH(B16,BT_Datum,0)),"")="",IFERROR(INDEX(FT_Name,MATCH(B16,Feiertage_aktiv,0)),""),IF(LEFT(IFERROR(INDEX(BT_Name,MATCH(B16,BT_Datum,0)),""),LEN(IFERROR(INDEX(FT_Name,MATCH(B16,Feiertage_aktiv,0)),"")))=IFERROR(INDEX(FT_Name,MATCH(B16,Feiertage_aktiv,0)),""),IFERROR(INDEX(BT_Name,MATCH(B16,BT_Datum,0)),""),IFERROR(INDEX(FT_Name,MATCH(B16,Feiertage_aktiv,0)),"")&amp;" · "&amp;IFERROR(INDEX(BT_Name,MATCH(B16,BT_Datum,0)),"")))),"")</f>
        <v>Pfingstmontag</v>
      </c>
      <c r="C17" s="40" t="str">
        <f t="shared" si="3"/>
        <v/>
      </c>
      <c r="D17" s="40" t="str">
        <f t="shared" si="3"/>
        <v/>
      </c>
      <c r="E17" s="40" t="str">
        <f t="shared" si="3"/>
        <v/>
      </c>
      <c r="F17" s="40" t="str">
        <f t="shared" si="3"/>
        <v/>
      </c>
      <c r="G17" s="41" t="str">
        <f t="shared" si="3"/>
        <v/>
      </c>
      <c r="H17" s="41" t="str">
        <f t="shared" si="3"/>
        <v/>
      </c>
      <c r="J17" s="39"/>
    </row>
    <row r="18" spans="1:10" ht="21.95" customHeight="1" x14ac:dyDescent="0.25">
      <c r="A18" s="82"/>
      <c r="B18" s="42"/>
      <c r="C18" s="42"/>
      <c r="D18" s="42"/>
      <c r="E18" s="42"/>
      <c r="F18" s="42"/>
      <c r="G18" s="43"/>
      <c r="H18" s="43"/>
      <c r="J18" s="39"/>
    </row>
    <row r="19" spans="1:10" ht="23.1" customHeight="1" x14ac:dyDescent="0.25">
      <c r="A19" s="83"/>
      <c r="B19" s="44"/>
      <c r="C19" s="44"/>
      <c r="D19" s="44"/>
      <c r="E19" s="44"/>
      <c r="F19" s="44"/>
      <c r="G19" s="45"/>
      <c r="H19" s="45"/>
      <c r="J19" s="46"/>
    </row>
    <row r="20" spans="1:10" ht="24.95" customHeight="1" x14ac:dyDescent="0.25">
      <c r="A20" s="81">
        <f>IF(OR(MONTH((DATE(Jahr,5,1)-WEEKDAY(DATE(Jahr,5,1),2)+1)+28)=5,MONTH((DATE(Jahr,5,1)-WEEKDAY(DATE(Jahr,5,1),2)+1)+28+6)=5),_xlfn.ISOWEEKNUM((DATE(Jahr,5,1)-WEEKDAY(DATE(Jahr,5,1),2)+1)+28),"")</f>
        <v>21</v>
      </c>
      <c r="B20" s="37">
        <f>IF(MONTH((DATE(Jahr,5,1)-WEEKDAY(DATE(Jahr,5,1),2)+1)+28)=5,(DATE(Jahr,5,1)-WEEKDAY(DATE(Jahr,5,1),2)+1)+28,"")</f>
        <v>46531</v>
      </c>
      <c r="C20" s="37">
        <f>IF(MONTH((DATE(Jahr,5,1)-WEEKDAY(DATE(Jahr,5,1),2)+1)+29)=5,(DATE(Jahr,5,1)-WEEKDAY(DATE(Jahr,5,1),2)+1)+29,"")</f>
        <v>46532</v>
      </c>
      <c r="D20" s="37">
        <f>IF(MONTH((DATE(Jahr,5,1)-WEEKDAY(DATE(Jahr,5,1),2)+1)+30)=5,(DATE(Jahr,5,1)-WEEKDAY(DATE(Jahr,5,1),2)+1)+30,"")</f>
        <v>46533</v>
      </c>
      <c r="E20" s="37">
        <f>IF(MONTH((DATE(Jahr,5,1)-WEEKDAY(DATE(Jahr,5,1),2)+1)+31)=5,(DATE(Jahr,5,1)-WEEKDAY(DATE(Jahr,5,1),2)+1)+31,"")</f>
        <v>46534</v>
      </c>
      <c r="F20" s="37">
        <f>IF(MONTH((DATE(Jahr,5,1)-WEEKDAY(DATE(Jahr,5,1),2)+1)+32)=5,(DATE(Jahr,5,1)-WEEKDAY(DATE(Jahr,5,1),2)+1)+32,"")</f>
        <v>46535</v>
      </c>
      <c r="G20" s="38">
        <f>IF(MONTH((DATE(Jahr,5,1)-WEEKDAY(DATE(Jahr,5,1),2)+1)+33)=5,(DATE(Jahr,5,1)-WEEKDAY(DATE(Jahr,5,1),2)+1)+33,"")</f>
        <v>46536</v>
      </c>
      <c r="H20" s="38">
        <f>IF(MONTH((DATE(Jahr,5,1)-WEEKDAY(DATE(Jahr,5,1),2)+1)+34)=5,(DATE(Jahr,5,1)-WEEKDAY(DATE(Jahr,5,1),2)+1)+34,"")</f>
        <v>46537</v>
      </c>
      <c r="J20" s="39"/>
    </row>
    <row r="21" spans="1:10" ht="27.95" customHeight="1" x14ac:dyDescent="0.25">
      <c r="A21" s="82"/>
      <c r="B21" s="40" t="str">
        <f t="shared" ref="B21:H21" si="4">IF(ISNUMBER(B20),IF(IFERROR(INDEX(FT_Name,MATCH(B20,Feiertage_aktiv,0)),"")="",IFERROR(INDEX(BT_Name,MATCH(B20,BT_Datum,0)),""),IF(IFERROR(INDEX(BT_Name,MATCH(B20,BT_Datum,0)),"")="",IFERROR(INDEX(FT_Name,MATCH(B20,Feiertage_aktiv,0)),""),IF(LEFT(IFERROR(INDEX(BT_Name,MATCH(B20,BT_Datum,0)),""),LEN(IFERROR(INDEX(FT_Name,MATCH(B20,Feiertage_aktiv,0)),"")))=IFERROR(INDEX(FT_Name,MATCH(B20,Feiertage_aktiv,0)),""),IFERROR(INDEX(BT_Name,MATCH(B20,BT_Datum,0)),""),IFERROR(INDEX(FT_Name,MATCH(B20,Feiertage_aktiv,0)),"")&amp;" · "&amp;IFERROR(INDEX(BT_Name,MATCH(B20,BT_Datum,0)),"")))),"")</f>
        <v/>
      </c>
      <c r="C21" s="40" t="str">
        <f t="shared" si="4"/>
        <v/>
      </c>
      <c r="D21" s="40" t="str">
        <f t="shared" si="4"/>
        <v/>
      </c>
      <c r="E21" s="40" t="str">
        <f t="shared" si="4"/>
        <v>Fronleichnam</v>
      </c>
      <c r="F21" s="40" t="str">
        <f t="shared" si="4"/>
        <v/>
      </c>
      <c r="G21" s="41" t="str">
        <f t="shared" si="4"/>
        <v/>
      </c>
      <c r="H21" s="41" t="str">
        <f t="shared" si="4"/>
        <v/>
      </c>
      <c r="J21" s="39"/>
    </row>
    <row r="22" spans="1:10" ht="21.95" customHeight="1" x14ac:dyDescent="0.25">
      <c r="A22" s="82"/>
      <c r="B22" s="42"/>
      <c r="C22" s="42"/>
      <c r="D22" s="42"/>
      <c r="E22" s="42"/>
      <c r="F22" s="42"/>
      <c r="G22" s="43"/>
      <c r="H22" s="43"/>
      <c r="J22" s="39"/>
    </row>
    <row r="23" spans="1:10" ht="23.1" customHeight="1" x14ac:dyDescent="0.25">
      <c r="A23" s="83"/>
      <c r="B23" s="44"/>
      <c r="C23" s="44"/>
      <c r="D23" s="44"/>
      <c r="E23" s="44"/>
      <c r="F23" s="44"/>
      <c r="G23" s="45"/>
      <c r="H23" s="45"/>
      <c r="J23" s="46"/>
    </row>
    <row r="24" spans="1:10" ht="24.95" customHeight="1" x14ac:dyDescent="0.25">
      <c r="A24" s="81">
        <f>IF(OR(MONTH((DATE(Jahr,5,1)-WEEKDAY(DATE(Jahr,5,1),2)+1)+35)=5,MONTH((DATE(Jahr,5,1)-WEEKDAY(DATE(Jahr,5,1),2)+1)+35+6)=5),_xlfn.ISOWEEKNUM((DATE(Jahr,5,1)-WEEKDAY(DATE(Jahr,5,1),2)+1)+35),"")</f>
        <v>22</v>
      </c>
      <c r="B24" s="37">
        <f>IF(MONTH((DATE(Jahr,5,1)-WEEKDAY(DATE(Jahr,5,1),2)+1)+35)=5,(DATE(Jahr,5,1)-WEEKDAY(DATE(Jahr,5,1),2)+1)+35,"")</f>
        <v>46538</v>
      </c>
      <c r="C24" s="37" t="str">
        <f>IF(MONTH((DATE(Jahr,5,1)-WEEKDAY(DATE(Jahr,5,1),2)+1)+36)=5,(DATE(Jahr,5,1)-WEEKDAY(DATE(Jahr,5,1),2)+1)+36,"")</f>
        <v/>
      </c>
      <c r="D24" s="37" t="str">
        <f>IF(MONTH((DATE(Jahr,5,1)-WEEKDAY(DATE(Jahr,5,1),2)+1)+37)=5,(DATE(Jahr,5,1)-WEEKDAY(DATE(Jahr,5,1),2)+1)+37,"")</f>
        <v/>
      </c>
      <c r="E24" s="37" t="str">
        <f>IF(MONTH((DATE(Jahr,5,1)-WEEKDAY(DATE(Jahr,5,1),2)+1)+38)=5,(DATE(Jahr,5,1)-WEEKDAY(DATE(Jahr,5,1),2)+1)+38,"")</f>
        <v/>
      </c>
      <c r="F24" s="37" t="str">
        <f>IF(MONTH((DATE(Jahr,5,1)-WEEKDAY(DATE(Jahr,5,1),2)+1)+39)=5,(DATE(Jahr,5,1)-WEEKDAY(DATE(Jahr,5,1),2)+1)+39,"")</f>
        <v/>
      </c>
      <c r="G24" s="38" t="str">
        <f>IF(MONTH((DATE(Jahr,5,1)-WEEKDAY(DATE(Jahr,5,1),2)+1)+40)=5,(DATE(Jahr,5,1)-WEEKDAY(DATE(Jahr,5,1),2)+1)+40,"")</f>
        <v/>
      </c>
      <c r="H24" s="38" t="str">
        <f>IF(MONTH((DATE(Jahr,5,1)-WEEKDAY(DATE(Jahr,5,1),2)+1)+41)=5,(DATE(Jahr,5,1)-WEEKDAY(DATE(Jahr,5,1),2)+1)+41,"")</f>
        <v/>
      </c>
      <c r="J24" s="39"/>
    </row>
    <row r="25" spans="1:10" ht="27.95" customHeight="1" x14ac:dyDescent="0.25">
      <c r="A25" s="82"/>
      <c r="B25" s="40" t="str">
        <f t="shared" ref="B25:H25" si="5">IF(ISNUMBER(B24),IF(IFERROR(INDEX(FT_Name,MATCH(B24,Feiertage_aktiv,0)),"")="",IFERROR(INDEX(BT_Name,MATCH(B24,BT_Datum,0)),""),IF(IFERROR(INDEX(BT_Name,MATCH(B24,BT_Datum,0)),"")="",IFERROR(INDEX(FT_Name,MATCH(B24,Feiertage_aktiv,0)),""),IF(LEFT(IFERROR(INDEX(BT_Name,MATCH(B24,BT_Datum,0)),""),LEN(IFERROR(INDEX(FT_Name,MATCH(B24,Feiertage_aktiv,0)),"")))=IFERROR(INDEX(FT_Name,MATCH(B24,Feiertage_aktiv,0)),""),IFERROR(INDEX(BT_Name,MATCH(B24,BT_Datum,0)),""),IFERROR(INDEX(FT_Name,MATCH(B24,Feiertage_aktiv,0)),"")&amp;" · "&amp;IFERROR(INDEX(BT_Name,MATCH(B24,BT_Datum,0)),"")))),"")</f>
        <v/>
      </c>
      <c r="C25" s="40" t="str">
        <f t="shared" si="5"/>
        <v/>
      </c>
      <c r="D25" s="40" t="str">
        <f t="shared" si="5"/>
        <v/>
      </c>
      <c r="E25" s="40" t="str">
        <f t="shared" si="5"/>
        <v/>
      </c>
      <c r="F25" s="40" t="str">
        <f t="shared" si="5"/>
        <v/>
      </c>
      <c r="G25" s="41" t="str">
        <f t="shared" si="5"/>
        <v/>
      </c>
      <c r="H25" s="41" t="str">
        <f t="shared" si="5"/>
        <v/>
      </c>
      <c r="J25" s="39"/>
    </row>
    <row r="26" spans="1:10" ht="21.95" customHeight="1" x14ac:dyDescent="0.25">
      <c r="A26" s="82"/>
      <c r="B26" s="42"/>
      <c r="C26" s="42"/>
      <c r="D26" s="42"/>
      <c r="E26" s="42"/>
      <c r="F26" s="42"/>
      <c r="G26" s="43"/>
      <c r="H26" s="43"/>
      <c r="J26" s="39"/>
    </row>
    <row r="27" spans="1:10" ht="23.1" customHeight="1" x14ac:dyDescent="0.25">
      <c r="A27" s="83"/>
      <c r="B27" s="44"/>
      <c r="C27" s="44"/>
      <c r="D27" s="44"/>
      <c r="E27" s="44"/>
      <c r="F27" s="44"/>
      <c r="G27" s="45"/>
      <c r="H27" s="45"/>
      <c r="J27" s="46"/>
    </row>
    <row r="28" spans="1:10" ht="15.95" customHeight="1" x14ac:dyDescent="0.25">
      <c r="A28" s="47" t="str">
        <f>"Rot: gesetzlicher Feiertag in "&amp;Bundesland&amp;". Grau: besondere Tage ohne Feiertag. Jahr und Bundesland ändern Sie im Blatt Jahreskalender."</f>
        <v>Rot: gesetzlicher Feiertag in Nordrhein-Westfalen. Grau: besondere Tage ohne Feiertag. Jahr und Bundesland ändern Sie im Blatt Jahreskalender.</v>
      </c>
    </row>
  </sheetData>
  <mergeCells count="6">
    <mergeCell ref="A4:A7"/>
    <mergeCell ref="A8:A11"/>
    <mergeCell ref="A12:A15"/>
    <mergeCell ref="A20:A23"/>
    <mergeCell ref="A24:A27"/>
    <mergeCell ref="A16:A19"/>
  </mergeCells>
  <conditionalFormatting sqref="B4:H7">
    <cfRule type="expression" dxfId="100" priority="1" stopIfTrue="1">
      <formula>B$4=""</formula>
    </cfRule>
    <cfRule type="expression" dxfId="99" priority="2">
      <formula>AND(ISNUMBER(B$4),COUNTIF(Feiertage_aktiv,B$4)&gt;0)</formula>
    </cfRule>
  </conditionalFormatting>
  <conditionalFormatting sqref="B8:H11">
    <cfRule type="expression" dxfId="98" priority="3" stopIfTrue="1">
      <formula>B$8=""</formula>
    </cfRule>
    <cfRule type="expression" dxfId="97" priority="4">
      <formula>AND(ISNUMBER(B$8),COUNTIF(Feiertage_aktiv,B$8)&gt;0)</formula>
    </cfRule>
  </conditionalFormatting>
  <conditionalFormatting sqref="B12:H15">
    <cfRule type="expression" dxfId="96" priority="5" stopIfTrue="1">
      <formula>B$12=""</formula>
    </cfRule>
    <cfRule type="expression" dxfId="95" priority="6">
      <formula>AND(ISNUMBER(B$12),COUNTIF(Feiertage_aktiv,B$12)&gt;0)</formula>
    </cfRule>
  </conditionalFormatting>
  <conditionalFormatting sqref="B16:H19">
    <cfRule type="expression" dxfId="94" priority="7" stopIfTrue="1">
      <formula>B$16=""</formula>
    </cfRule>
    <cfRule type="expression" dxfId="93" priority="8">
      <formula>AND(ISNUMBER(B$16),COUNTIF(Feiertage_aktiv,B$16)&gt;0)</formula>
    </cfRule>
  </conditionalFormatting>
  <conditionalFormatting sqref="B20:H23">
    <cfRule type="expression" dxfId="92" priority="9" stopIfTrue="1">
      <formula>B$20=""</formula>
    </cfRule>
    <cfRule type="expression" dxfId="91" priority="10">
      <formula>AND(ISNUMBER(B$20),COUNTIF(Feiertage_aktiv,B$20)&gt;0)</formula>
    </cfRule>
  </conditionalFormatting>
  <conditionalFormatting sqref="B24:H27">
    <cfRule type="expression" dxfId="90" priority="11" stopIfTrue="1">
      <formula>B$24=""</formula>
    </cfRule>
    <cfRule type="expression" dxfId="89" priority="12">
      <formula>AND(ISNUMBER(B$24),COUNTIF(Feiertage_aktiv,B$24)&gt;0)</formula>
    </cfRule>
  </conditionalFormatting>
  <printOptions horizontalCentered="1"/>
  <pageMargins left="0.4" right="0.4" top="0.45" bottom="0.55000000000000004" header="0.2" footer="0.25"/>
  <pageSetup paperSize="9" orientation="landscape"/>
  <headerFooter>
    <oddFooter>&amp;C&amp;8 &amp;K686E70Vorlage von seminaron.de&amp;R&amp;8 &amp;K686E70&amp;A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8"/>
  <sheetViews>
    <sheetView showGridLines="0" zoomScale="85" workbookViewId="0"/>
  </sheetViews>
  <sheetFormatPr baseColWidth="10" defaultColWidth="9.140625" defaultRowHeight="15" x14ac:dyDescent="0.25"/>
  <cols>
    <col min="1" max="1" width="5.42578125" customWidth="1"/>
    <col min="2" max="8" width="19.42578125" customWidth="1"/>
    <col min="9" max="9" width="1.42578125" customWidth="1"/>
    <col min="10" max="10" width="30" customWidth="1"/>
  </cols>
  <sheetData>
    <row r="1" spans="1:10" ht="36" customHeight="1" x14ac:dyDescent="0.25">
      <c r="A1" s="34" t="str">
        <f>"Juni "&amp;Jahr</f>
        <v>Juni 2027</v>
      </c>
    </row>
    <row r="2" spans="1:10" ht="18" customHeight="1" x14ac:dyDescent="0.25">
      <c r="A2" s="20" t="str">
        <f>"Feiertage: "&amp;Bundesland&amp;" · Arbeitstage Montag bis Freitag: "&amp;NETWORKDAYS(DATE(Jahr,6,1),DATE(Jahr,7,0),Feiertage_aktiv)</f>
        <v>Feiertage: Nordrhein-Westfalen · Arbeitstage Montag bis Freitag: 22</v>
      </c>
    </row>
    <row r="3" spans="1:10" ht="21" customHeight="1" x14ac:dyDescent="0.25">
      <c r="A3" s="35" t="s">
        <v>7</v>
      </c>
      <c r="B3" s="35" t="s">
        <v>56</v>
      </c>
      <c r="C3" s="35" t="s">
        <v>57</v>
      </c>
      <c r="D3" s="35" t="s">
        <v>58</v>
      </c>
      <c r="E3" s="35" t="s">
        <v>59</v>
      </c>
      <c r="F3" s="35" t="s">
        <v>60</v>
      </c>
      <c r="G3" s="36" t="s">
        <v>61</v>
      </c>
      <c r="H3" s="36" t="s">
        <v>62</v>
      </c>
      <c r="J3" s="35" t="s">
        <v>63</v>
      </c>
    </row>
    <row r="4" spans="1:10" ht="24.95" customHeight="1" x14ac:dyDescent="0.25">
      <c r="A4" s="81">
        <f>IF(OR(MONTH((DATE(Jahr,6,1)-WEEKDAY(DATE(Jahr,6,1),2)+1)+0)=6,MONTH((DATE(Jahr,6,1)-WEEKDAY(DATE(Jahr,6,1),2)+1)+0+6)=6),_xlfn.ISOWEEKNUM((DATE(Jahr,6,1)-WEEKDAY(DATE(Jahr,6,1),2)+1)+0),"")</f>
        <v>22</v>
      </c>
      <c r="B4" s="37" t="str">
        <f>IF(MONTH((DATE(Jahr,6,1)-WEEKDAY(DATE(Jahr,6,1),2)+1)+0)=6,(DATE(Jahr,6,1)-WEEKDAY(DATE(Jahr,6,1),2)+1)+0,"")</f>
        <v/>
      </c>
      <c r="C4" s="37">
        <f>IF(MONTH((DATE(Jahr,6,1)-WEEKDAY(DATE(Jahr,6,1),2)+1)+1)=6,(DATE(Jahr,6,1)-WEEKDAY(DATE(Jahr,6,1),2)+1)+1,"")</f>
        <v>46539</v>
      </c>
      <c r="D4" s="37">
        <f>IF(MONTH((DATE(Jahr,6,1)-WEEKDAY(DATE(Jahr,6,1),2)+1)+2)=6,(DATE(Jahr,6,1)-WEEKDAY(DATE(Jahr,6,1),2)+1)+2,"")</f>
        <v>46540</v>
      </c>
      <c r="E4" s="37">
        <f>IF(MONTH((DATE(Jahr,6,1)-WEEKDAY(DATE(Jahr,6,1),2)+1)+3)=6,(DATE(Jahr,6,1)-WEEKDAY(DATE(Jahr,6,1),2)+1)+3,"")</f>
        <v>46541</v>
      </c>
      <c r="F4" s="37">
        <f>IF(MONTH((DATE(Jahr,6,1)-WEEKDAY(DATE(Jahr,6,1),2)+1)+4)=6,(DATE(Jahr,6,1)-WEEKDAY(DATE(Jahr,6,1),2)+1)+4,"")</f>
        <v>46542</v>
      </c>
      <c r="G4" s="38">
        <f>IF(MONTH((DATE(Jahr,6,1)-WEEKDAY(DATE(Jahr,6,1),2)+1)+5)=6,(DATE(Jahr,6,1)-WEEKDAY(DATE(Jahr,6,1),2)+1)+5,"")</f>
        <v>46543</v>
      </c>
      <c r="H4" s="38">
        <f>IF(MONTH((DATE(Jahr,6,1)-WEEKDAY(DATE(Jahr,6,1),2)+1)+6)=6,(DATE(Jahr,6,1)-WEEKDAY(DATE(Jahr,6,1),2)+1)+6,"")</f>
        <v>46544</v>
      </c>
      <c r="J4" s="39"/>
    </row>
    <row r="5" spans="1:10" ht="27.95" customHeight="1" x14ac:dyDescent="0.25">
      <c r="A5" s="82"/>
      <c r="B5" s="40" t="str">
        <f t="shared" ref="B5:H5" si="0">IF(ISNUMBER(B4),IF(IFERROR(INDEX(FT_Name,MATCH(B4,Feiertage_aktiv,0)),"")="",IFERROR(INDEX(BT_Name,MATCH(B4,BT_Datum,0)),""),IF(IFERROR(INDEX(BT_Name,MATCH(B4,BT_Datum,0)),"")="",IFERROR(INDEX(FT_Name,MATCH(B4,Feiertage_aktiv,0)),""),IF(LEFT(IFERROR(INDEX(BT_Name,MATCH(B4,BT_Datum,0)),""),LEN(IFERROR(INDEX(FT_Name,MATCH(B4,Feiertage_aktiv,0)),"")))=IFERROR(INDEX(FT_Name,MATCH(B4,Feiertage_aktiv,0)),""),IFERROR(INDEX(BT_Name,MATCH(B4,BT_Datum,0)),""),IFERROR(INDEX(FT_Name,MATCH(B4,Feiertage_aktiv,0)),"")&amp;" · "&amp;IFERROR(INDEX(BT_Name,MATCH(B4,BT_Datum,0)),"")))),"")</f>
        <v/>
      </c>
      <c r="C5" s="40" t="str">
        <f t="shared" si="0"/>
        <v/>
      </c>
      <c r="D5" s="40" t="str">
        <f t="shared" si="0"/>
        <v/>
      </c>
      <c r="E5" s="40" t="str">
        <f t="shared" si="0"/>
        <v/>
      </c>
      <c r="F5" s="40" t="str">
        <f t="shared" si="0"/>
        <v/>
      </c>
      <c r="G5" s="41" t="str">
        <f t="shared" si="0"/>
        <v/>
      </c>
      <c r="H5" s="41" t="str">
        <f t="shared" si="0"/>
        <v/>
      </c>
      <c r="J5" s="39"/>
    </row>
    <row r="6" spans="1:10" ht="21.95" customHeight="1" x14ac:dyDescent="0.25">
      <c r="A6" s="82"/>
      <c r="B6" s="42"/>
      <c r="C6" s="42"/>
      <c r="D6" s="42"/>
      <c r="E6" s="42"/>
      <c r="F6" s="42"/>
      <c r="G6" s="43"/>
      <c r="H6" s="43"/>
      <c r="J6" s="39"/>
    </row>
    <row r="7" spans="1:10" ht="23.1" customHeight="1" x14ac:dyDescent="0.25">
      <c r="A7" s="83"/>
      <c r="B7" s="44"/>
      <c r="C7" s="44"/>
      <c r="D7" s="44"/>
      <c r="E7" s="44"/>
      <c r="F7" s="44"/>
      <c r="G7" s="45"/>
      <c r="H7" s="45"/>
      <c r="J7" s="46"/>
    </row>
    <row r="8" spans="1:10" ht="24.95" customHeight="1" x14ac:dyDescent="0.25">
      <c r="A8" s="81">
        <f>IF(OR(MONTH((DATE(Jahr,6,1)-WEEKDAY(DATE(Jahr,6,1),2)+1)+7)=6,MONTH((DATE(Jahr,6,1)-WEEKDAY(DATE(Jahr,6,1),2)+1)+7+6)=6),_xlfn.ISOWEEKNUM((DATE(Jahr,6,1)-WEEKDAY(DATE(Jahr,6,1),2)+1)+7),"")</f>
        <v>23</v>
      </c>
      <c r="B8" s="37">
        <f>IF(MONTH((DATE(Jahr,6,1)-WEEKDAY(DATE(Jahr,6,1),2)+1)+7)=6,(DATE(Jahr,6,1)-WEEKDAY(DATE(Jahr,6,1),2)+1)+7,"")</f>
        <v>46545</v>
      </c>
      <c r="C8" s="37">
        <f>IF(MONTH((DATE(Jahr,6,1)-WEEKDAY(DATE(Jahr,6,1),2)+1)+8)=6,(DATE(Jahr,6,1)-WEEKDAY(DATE(Jahr,6,1),2)+1)+8,"")</f>
        <v>46546</v>
      </c>
      <c r="D8" s="37">
        <f>IF(MONTH((DATE(Jahr,6,1)-WEEKDAY(DATE(Jahr,6,1),2)+1)+9)=6,(DATE(Jahr,6,1)-WEEKDAY(DATE(Jahr,6,1),2)+1)+9,"")</f>
        <v>46547</v>
      </c>
      <c r="E8" s="37">
        <f>IF(MONTH((DATE(Jahr,6,1)-WEEKDAY(DATE(Jahr,6,1),2)+1)+10)=6,(DATE(Jahr,6,1)-WEEKDAY(DATE(Jahr,6,1),2)+1)+10,"")</f>
        <v>46548</v>
      </c>
      <c r="F8" s="37">
        <f>IF(MONTH((DATE(Jahr,6,1)-WEEKDAY(DATE(Jahr,6,1),2)+1)+11)=6,(DATE(Jahr,6,1)-WEEKDAY(DATE(Jahr,6,1),2)+1)+11,"")</f>
        <v>46549</v>
      </c>
      <c r="G8" s="38">
        <f>IF(MONTH((DATE(Jahr,6,1)-WEEKDAY(DATE(Jahr,6,1),2)+1)+12)=6,(DATE(Jahr,6,1)-WEEKDAY(DATE(Jahr,6,1),2)+1)+12,"")</f>
        <v>46550</v>
      </c>
      <c r="H8" s="38">
        <f>IF(MONTH((DATE(Jahr,6,1)-WEEKDAY(DATE(Jahr,6,1),2)+1)+13)=6,(DATE(Jahr,6,1)-WEEKDAY(DATE(Jahr,6,1),2)+1)+13,"")</f>
        <v>46551</v>
      </c>
      <c r="J8" s="39"/>
    </row>
    <row r="9" spans="1:10" ht="27.95" customHeight="1" x14ac:dyDescent="0.25">
      <c r="A9" s="82"/>
      <c r="B9" s="40" t="str">
        <f t="shared" ref="B9:H9" si="1">IF(ISNUMBER(B8),IF(IFERROR(INDEX(FT_Name,MATCH(B8,Feiertage_aktiv,0)),"")="",IFERROR(INDEX(BT_Name,MATCH(B8,BT_Datum,0)),""),IF(IFERROR(INDEX(BT_Name,MATCH(B8,BT_Datum,0)),"")="",IFERROR(INDEX(FT_Name,MATCH(B8,Feiertage_aktiv,0)),""),IF(LEFT(IFERROR(INDEX(BT_Name,MATCH(B8,BT_Datum,0)),""),LEN(IFERROR(INDEX(FT_Name,MATCH(B8,Feiertage_aktiv,0)),"")))=IFERROR(INDEX(FT_Name,MATCH(B8,Feiertage_aktiv,0)),""),IFERROR(INDEX(BT_Name,MATCH(B8,BT_Datum,0)),""),IFERROR(INDEX(FT_Name,MATCH(B8,Feiertage_aktiv,0)),"")&amp;" · "&amp;IFERROR(INDEX(BT_Name,MATCH(B8,BT_Datum,0)),"")))),"")</f>
        <v/>
      </c>
      <c r="C9" s="40" t="str">
        <f t="shared" si="1"/>
        <v/>
      </c>
      <c r="D9" s="40" t="str">
        <f t="shared" si="1"/>
        <v/>
      </c>
      <c r="E9" s="40" t="str">
        <f t="shared" si="1"/>
        <v/>
      </c>
      <c r="F9" s="40" t="str">
        <f t="shared" si="1"/>
        <v/>
      </c>
      <c r="G9" s="41" t="str">
        <f t="shared" si="1"/>
        <v/>
      </c>
      <c r="H9" s="41" t="str">
        <f t="shared" si="1"/>
        <v/>
      </c>
      <c r="J9" s="39"/>
    </row>
    <row r="10" spans="1:10" ht="21.95" customHeight="1" x14ac:dyDescent="0.25">
      <c r="A10" s="82"/>
      <c r="B10" s="42"/>
      <c r="C10" s="42"/>
      <c r="D10" s="42"/>
      <c r="E10" s="42"/>
      <c r="F10" s="42"/>
      <c r="G10" s="43"/>
      <c r="H10" s="43"/>
      <c r="J10" s="39"/>
    </row>
    <row r="11" spans="1:10" ht="23.1" customHeight="1" x14ac:dyDescent="0.25">
      <c r="A11" s="83"/>
      <c r="B11" s="44"/>
      <c r="C11" s="44"/>
      <c r="D11" s="44"/>
      <c r="E11" s="44"/>
      <c r="F11" s="44"/>
      <c r="G11" s="45"/>
      <c r="H11" s="45"/>
      <c r="J11" s="46"/>
    </row>
    <row r="12" spans="1:10" ht="24.95" customHeight="1" x14ac:dyDescent="0.25">
      <c r="A12" s="81">
        <f>IF(OR(MONTH((DATE(Jahr,6,1)-WEEKDAY(DATE(Jahr,6,1),2)+1)+14)=6,MONTH((DATE(Jahr,6,1)-WEEKDAY(DATE(Jahr,6,1),2)+1)+14+6)=6),_xlfn.ISOWEEKNUM((DATE(Jahr,6,1)-WEEKDAY(DATE(Jahr,6,1),2)+1)+14),"")</f>
        <v>24</v>
      </c>
      <c r="B12" s="37">
        <f>IF(MONTH((DATE(Jahr,6,1)-WEEKDAY(DATE(Jahr,6,1),2)+1)+14)=6,(DATE(Jahr,6,1)-WEEKDAY(DATE(Jahr,6,1),2)+1)+14,"")</f>
        <v>46552</v>
      </c>
      <c r="C12" s="37">
        <f>IF(MONTH((DATE(Jahr,6,1)-WEEKDAY(DATE(Jahr,6,1),2)+1)+15)=6,(DATE(Jahr,6,1)-WEEKDAY(DATE(Jahr,6,1),2)+1)+15,"")</f>
        <v>46553</v>
      </c>
      <c r="D12" s="37">
        <f>IF(MONTH((DATE(Jahr,6,1)-WEEKDAY(DATE(Jahr,6,1),2)+1)+16)=6,(DATE(Jahr,6,1)-WEEKDAY(DATE(Jahr,6,1),2)+1)+16,"")</f>
        <v>46554</v>
      </c>
      <c r="E12" s="37">
        <f>IF(MONTH((DATE(Jahr,6,1)-WEEKDAY(DATE(Jahr,6,1),2)+1)+17)=6,(DATE(Jahr,6,1)-WEEKDAY(DATE(Jahr,6,1),2)+1)+17,"")</f>
        <v>46555</v>
      </c>
      <c r="F12" s="37">
        <f>IF(MONTH((DATE(Jahr,6,1)-WEEKDAY(DATE(Jahr,6,1),2)+1)+18)=6,(DATE(Jahr,6,1)-WEEKDAY(DATE(Jahr,6,1),2)+1)+18,"")</f>
        <v>46556</v>
      </c>
      <c r="G12" s="38">
        <f>IF(MONTH((DATE(Jahr,6,1)-WEEKDAY(DATE(Jahr,6,1),2)+1)+19)=6,(DATE(Jahr,6,1)-WEEKDAY(DATE(Jahr,6,1),2)+1)+19,"")</f>
        <v>46557</v>
      </c>
      <c r="H12" s="38">
        <f>IF(MONTH((DATE(Jahr,6,1)-WEEKDAY(DATE(Jahr,6,1),2)+1)+20)=6,(DATE(Jahr,6,1)-WEEKDAY(DATE(Jahr,6,1),2)+1)+20,"")</f>
        <v>46558</v>
      </c>
      <c r="J12" s="39"/>
    </row>
    <row r="13" spans="1:10" ht="27.95" customHeight="1" x14ac:dyDescent="0.25">
      <c r="A13" s="82"/>
      <c r="B13" s="40" t="str">
        <f t="shared" ref="B13:H13" si="2">IF(ISNUMBER(B12),IF(IFERROR(INDEX(FT_Name,MATCH(B12,Feiertage_aktiv,0)),"")="",IFERROR(INDEX(BT_Name,MATCH(B12,BT_Datum,0)),""),IF(IFERROR(INDEX(BT_Name,MATCH(B12,BT_Datum,0)),"")="",IFERROR(INDEX(FT_Name,MATCH(B12,Feiertage_aktiv,0)),""),IF(LEFT(IFERROR(INDEX(BT_Name,MATCH(B12,BT_Datum,0)),""),LEN(IFERROR(INDEX(FT_Name,MATCH(B12,Feiertage_aktiv,0)),"")))=IFERROR(INDEX(FT_Name,MATCH(B12,Feiertage_aktiv,0)),""),IFERROR(INDEX(BT_Name,MATCH(B12,BT_Datum,0)),""),IFERROR(INDEX(FT_Name,MATCH(B12,Feiertage_aktiv,0)),"")&amp;" · "&amp;IFERROR(INDEX(BT_Name,MATCH(B12,BT_Datum,0)),"")))),"")</f>
        <v/>
      </c>
      <c r="C13" s="40" t="str">
        <f t="shared" si="2"/>
        <v/>
      </c>
      <c r="D13" s="40" t="str">
        <f t="shared" si="2"/>
        <v/>
      </c>
      <c r="E13" s="40" t="str">
        <f t="shared" si="2"/>
        <v/>
      </c>
      <c r="F13" s="40" t="str">
        <f t="shared" si="2"/>
        <v/>
      </c>
      <c r="G13" s="41" t="str">
        <f t="shared" si="2"/>
        <v/>
      </c>
      <c r="H13" s="41" t="str">
        <f t="shared" si="2"/>
        <v/>
      </c>
      <c r="J13" s="39"/>
    </row>
    <row r="14" spans="1:10" ht="21.95" customHeight="1" x14ac:dyDescent="0.25">
      <c r="A14" s="82"/>
      <c r="B14" s="42"/>
      <c r="C14" s="42"/>
      <c r="D14" s="42"/>
      <c r="E14" s="42"/>
      <c r="F14" s="42"/>
      <c r="G14" s="43"/>
      <c r="H14" s="43"/>
      <c r="J14" s="39"/>
    </row>
    <row r="15" spans="1:10" ht="23.1" customHeight="1" x14ac:dyDescent="0.25">
      <c r="A15" s="83"/>
      <c r="B15" s="44"/>
      <c r="C15" s="44"/>
      <c r="D15" s="44"/>
      <c r="E15" s="44"/>
      <c r="F15" s="44"/>
      <c r="G15" s="45"/>
      <c r="H15" s="45"/>
      <c r="J15" s="46"/>
    </row>
    <row r="16" spans="1:10" ht="24.95" customHeight="1" x14ac:dyDescent="0.25">
      <c r="A16" s="81">
        <f>IF(OR(MONTH((DATE(Jahr,6,1)-WEEKDAY(DATE(Jahr,6,1),2)+1)+21)=6,MONTH((DATE(Jahr,6,1)-WEEKDAY(DATE(Jahr,6,1),2)+1)+21+6)=6),_xlfn.ISOWEEKNUM((DATE(Jahr,6,1)-WEEKDAY(DATE(Jahr,6,1),2)+1)+21),"")</f>
        <v>25</v>
      </c>
      <c r="B16" s="37">
        <f>IF(MONTH((DATE(Jahr,6,1)-WEEKDAY(DATE(Jahr,6,1),2)+1)+21)=6,(DATE(Jahr,6,1)-WEEKDAY(DATE(Jahr,6,1),2)+1)+21,"")</f>
        <v>46559</v>
      </c>
      <c r="C16" s="37">
        <f>IF(MONTH((DATE(Jahr,6,1)-WEEKDAY(DATE(Jahr,6,1),2)+1)+22)=6,(DATE(Jahr,6,1)-WEEKDAY(DATE(Jahr,6,1),2)+1)+22,"")</f>
        <v>46560</v>
      </c>
      <c r="D16" s="37">
        <f>IF(MONTH((DATE(Jahr,6,1)-WEEKDAY(DATE(Jahr,6,1),2)+1)+23)=6,(DATE(Jahr,6,1)-WEEKDAY(DATE(Jahr,6,1),2)+1)+23,"")</f>
        <v>46561</v>
      </c>
      <c r="E16" s="37">
        <f>IF(MONTH((DATE(Jahr,6,1)-WEEKDAY(DATE(Jahr,6,1),2)+1)+24)=6,(DATE(Jahr,6,1)-WEEKDAY(DATE(Jahr,6,1),2)+1)+24,"")</f>
        <v>46562</v>
      </c>
      <c r="F16" s="37">
        <f>IF(MONTH((DATE(Jahr,6,1)-WEEKDAY(DATE(Jahr,6,1),2)+1)+25)=6,(DATE(Jahr,6,1)-WEEKDAY(DATE(Jahr,6,1),2)+1)+25,"")</f>
        <v>46563</v>
      </c>
      <c r="G16" s="38">
        <f>IF(MONTH((DATE(Jahr,6,1)-WEEKDAY(DATE(Jahr,6,1),2)+1)+26)=6,(DATE(Jahr,6,1)-WEEKDAY(DATE(Jahr,6,1),2)+1)+26,"")</f>
        <v>46564</v>
      </c>
      <c r="H16" s="38">
        <f>IF(MONTH((DATE(Jahr,6,1)-WEEKDAY(DATE(Jahr,6,1),2)+1)+27)=6,(DATE(Jahr,6,1)-WEEKDAY(DATE(Jahr,6,1),2)+1)+27,"")</f>
        <v>46565</v>
      </c>
      <c r="J16" s="39"/>
    </row>
    <row r="17" spans="1:10" ht="27.95" customHeight="1" x14ac:dyDescent="0.25">
      <c r="A17" s="82"/>
      <c r="B17" s="40" t="str">
        <f t="shared" ref="B17:H17" si="3">IF(ISNUMBER(B16),IF(IFERROR(INDEX(FT_Name,MATCH(B16,Feiertage_aktiv,0)),"")="",IFERROR(INDEX(BT_Name,MATCH(B16,BT_Datum,0)),""),IF(IFERROR(INDEX(BT_Name,MATCH(B16,BT_Datum,0)),"")="",IFERROR(INDEX(FT_Name,MATCH(B16,Feiertage_aktiv,0)),""),IF(LEFT(IFERROR(INDEX(BT_Name,MATCH(B16,BT_Datum,0)),""),LEN(IFERROR(INDEX(FT_Name,MATCH(B16,Feiertage_aktiv,0)),"")))=IFERROR(INDEX(FT_Name,MATCH(B16,Feiertage_aktiv,0)),""),IFERROR(INDEX(BT_Name,MATCH(B16,BT_Datum,0)),""),IFERROR(INDEX(FT_Name,MATCH(B16,Feiertage_aktiv,0)),"")&amp;" · "&amp;IFERROR(INDEX(BT_Name,MATCH(B16,BT_Datum,0)),"")))),"")</f>
        <v/>
      </c>
      <c r="C17" s="40" t="str">
        <f t="shared" si="3"/>
        <v/>
      </c>
      <c r="D17" s="40" t="str">
        <f t="shared" si="3"/>
        <v/>
      </c>
      <c r="E17" s="40" t="str">
        <f t="shared" si="3"/>
        <v/>
      </c>
      <c r="F17" s="40" t="str">
        <f t="shared" si="3"/>
        <v/>
      </c>
      <c r="G17" s="41" t="str">
        <f t="shared" si="3"/>
        <v/>
      </c>
      <c r="H17" s="41" t="str">
        <f t="shared" si="3"/>
        <v/>
      </c>
      <c r="J17" s="39"/>
    </row>
    <row r="18" spans="1:10" ht="21.95" customHeight="1" x14ac:dyDescent="0.25">
      <c r="A18" s="82"/>
      <c r="B18" s="42"/>
      <c r="C18" s="42"/>
      <c r="D18" s="42"/>
      <c r="E18" s="42"/>
      <c r="F18" s="42"/>
      <c r="G18" s="43"/>
      <c r="H18" s="43"/>
      <c r="J18" s="39"/>
    </row>
    <row r="19" spans="1:10" ht="23.1" customHeight="1" x14ac:dyDescent="0.25">
      <c r="A19" s="83"/>
      <c r="B19" s="44"/>
      <c r="C19" s="44"/>
      <c r="D19" s="44"/>
      <c r="E19" s="44"/>
      <c r="F19" s="44"/>
      <c r="G19" s="45"/>
      <c r="H19" s="45"/>
      <c r="J19" s="46"/>
    </row>
    <row r="20" spans="1:10" ht="24.95" customHeight="1" x14ac:dyDescent="0.25">
      <c r="A20" s="81">
        <f>IF(OR(MONTH((DATE(Jahr,6,1)-WEEKDAY(DATE(Jahr,6,1),2)+1)+28)=6,MONTH((DATE(Jahr,6,1)-WEEKDAY(DATE(Jahr,6,1),2)+1)+28+6)=6),_xlfn.ISOWEEKNUM((DATE(Jahr,6,1)-WEEKDAY(DATE(Jahr,6,1),2)+1)+28),"")</f>
        <v>26</v>
      </c>
      <c r="B20" s="37">
        <f>IF(MONTH((DATE(Jahr,6,1)-WEEKDAY(DATE(Jahr,6,1),2)+1)+28)=6,(DATE(Jahr,6,1)-WEEKDAY(DATE(Jahr,6,1),2)+1)+28,"")</f>
        <v>46566</v>
      </c>
      <c r="C20" s="37">
        <f>IF(MONTH((DATE(Jahr,6,1)-WEEKDAY(DATE(Jahr,6,1),2)+1)+29)=6,(DATE(Jahr,6,1)-WEEKDAY(DATE(Jahr,6,1),2)+1)+29,"")</f>
        <v>46567</v>
      </c>
      <c r="D20" s="37">
        <f>IF(MONTH((DATE(Jahr,6,1)-WEEKDAY(DATE(Jahr,6,1),2)+1)+30)=6,(DATE(Jahr,6,1)-WEEKDAY(DATE(Jahr,6,1),2)+1)+30,"")</f>
        <v>46568</v>
      </c>
      <c r="E20" s="37" t="str">
        <f>IF(MONTH((DATE(Jahr,6,1)-WEEKDAY(DATE(Jahr,6,1),2)+1)+31)=6,(DATE(Jahr,6,1)-WEEKDAY(DATE(Jahr,6,1),2)+1)+31,"")</f>
        <v/>
      </c>
      <c r="F20" s="37" t="str">
        <f>IF(MONTH((DATE(Jahr,6,1)-WEEKDAY(DATE(Jahr,6,1),2)+1)+32)=6,(DATE(Jahr,6,1)-WEEKDAY(DATE(Jahr,6,1),2)+1)+32,"")</f>
        <v/>
      </c>
      <c r="G20" s="38" t="str">
        <f>IF(MONTH((DATE(Jahr,6,1)-WEEKDAY(DATE(Jahr,6,1),2)+1)+33)=6,(DATE(Jahr,6,1)-WEEKDAY(DATE(Jahr,6,1),2)+1)+33,"")</f>
        <v/>
      </c>
      <c r="H20" s="38" t="str">
        <f>IF(MONTH((DATE(Jahr,6,1)-WEEKDAY(DATE(Jahr,6,1),2)+1)+34)=6,(DATE(Jahr,6,1)-WEEKDAY(DATE(Jahr,6,1),2)+1)+34,"")</f>
        <v/>
      </c>
      <c r="J20" s="39"/>
    </row>
    <row r="21" spans="1:10" ht="27.95" customHeight="1" x14ac:dyDescent="0.25">
      <c r="A21" s="82"/>
      <c r="B21" s="40" t="str">
        <f t="shared" ref="B21:H21" si="4">IF(ISNUMBER(B20),IF(IFERROR(INDEX(FT_Name,MATCH(B20,Feiertage_aktiv,0)),"")="",IFERROR(INDEX(BT_Name,MATCH(B20,BT_Datum,0)),""),IF(IFERROR(INDEX(BT_Name,MATCH(B20,BT_Datum,0)),"")="",IFERROR(INDEX(FT_Name,MATCH(B20,Feiertage_aktiv,0)),""),IF(LEFT(IFERROR(INDEX(BT_Name,MATCH(B20,BT_Datum,0)),""),LEN(IFERROR(INDEX(FT_Name,MATCH(B20,Feiertage_aktiv,0)),"")))=IFERROR(INDEX(FT_Name,MATCH(B20,Feiertage_aktiv,0)),""),IFERROR(INDEX(BT_Name,MATCH(B20,BT_Datum,0)),""),IFERROR(INDEX(FT_Name,MATCH(B20,Feiertage_aktiv,0)),"")&amp;" · "&amp;IFERROR(INDEX(BT_Name,MATCH(B20,BT_Datum,0)),"")))),"")</f>
        <v/>
      </c>
      <c r="C21" s="40" t="str">
        <f t="shared" si="4"/>
        <v/>
      </c>
      <c r="D21" s="40" t="str">
        <f t="shared" si="4"/>
        <v/>
      </c>
      <c r="E21" s="40" t="str">
        <f t="shared" si="4"/>
        <v/>
      </c>
      <c r="F21" s="40" t="str">
        <f t="shared" si="4"/>
        <v/>
      </c>
      <c r="G21" s="41" t="str">
        <f t="shared" si="4"/>
        <v/>
      </c>
      <c r="H21" s="41" t="str">
        <f t="shared" si="4"/>
        <v/>
      </c>
      <c r="J21" s="39"/>
    </row>
    <row r="22" spans="1:10" ht="21.95" customHeight="1" x14ac:dyDescent="0.25">
      <c r="A22" s="82"/>
      <c r="B22" s="42"/>
      <c r="C22" s="42"/>
      <c r="D22" s="42"/>
      <c r="E22" s="42"/>
      <c r="F22" s="42"/>
      <c r="G22" s="43"/>
      <c r="H22" s="43"/>
      <c r="J22" s="39"/>
    </row>
    <row r="23" spans="1:10" ht="23.1" customHeight="1" x14ac:dyDescent="0.25">
      <c r="A23" s="83"/>
      <c r="B23" s="44"/>
      <c r="C23" s="44"/>
      <c r="D23" s="44"/>
      <c r="E23" s="44"/>
      <c r="F23" s="44"/>
      <c r="G23" s="45"/>
      <c r="H23" s="45"/>
      <c r="J23" s="46"/>
    </row>
    <row r="24" spans="1:10" ht="24.95" customHeight="1" x14ac:dyDescent="0.25">
      <c r="A24" s="81" t="str">
        <f>IF(OR(MONTH((DATE(Jahr,6,1)-WEEKDAY(DATE(Jahr,6,1),2)+1)+35)=6,MONTH((DATE(Jahr,6,1)-WEEKDAY(DATE(Jahr,6,1),2)+1)+35+6)=6),_xlfn.ISOWEEKNUM((DATE(Jahr,6,1)-WEEKDAY(DATE(Jahr,6,1),2)+1)+35),"")</f>
        <v/>
      </c>
      <c r="B24" s="37" t="str">
        <f>IF(MONTH((DATE(Jahr,6,1)-WEEKDAY(DATE(Jahr,6,1),2)+1)+35)=6,(DATE(Jahr,6,1)-WEEKDAY(DATE(Jahr,6,1),2)+1)+35,"")</f>
        <v/>
      </c>
      <c r="C24" s="37" t="str">
        <f>IF(MONTH((DATE(Jahr,6,1)-WEEKDAY(DATE(Jahr,6,1),2)+1)+36)=6,(DATE(Jahr,6,1)-WEEKDAY(DATE(Jahr,6,1),2)+1)+36,"")</f>
        <v/>
      </c>
      <c r="D24" s="37" t="str">
        <f>IF(MONTH((DATE(Jahr,6,1)-WEEKDAY(DATE(Jahr,6,1),2)+1)+37)=6,(DATE(Jahr,6,1)-WEEKDAY(DATE(Jahr,6,1),2)+1)+37,"")</f>
        <v/>
      </c>
      <c r="E24" s="37" t="str">
        <f>IF(MONTH((DATE(Jahr,6,1)-WEEKDAY(DATE(Jahr,6,1),2)+1)+38)=6,(DATE(Jahr,6,1)-WEEKDAY(DATE(Jahr,6,1),2)+1)+38,"")</f>
        <v/>
      </c>
      <c r="F24" s="37" t="str">
        <f>IF(MONTH((DATE(Jahr,6,1)-WEEKDAY(DATE(Jahr,6,1),2)+1)+39)=6,(DATE(Jahr,6,1)-WEEKDAY(DATE(Jahr,6,1),2)+1)+39,"")</f>
        <v/>
      </c>
      <c r="G24" s="38" t="str">
        <f>IF(MONTH((DATE(Jahr,6,1)-WEEKDAY(DATE(Jahr,6,1),2)+1)+40)=6,(DATE(Jahr,6,1)-WEEKDAY(DATE(Jahr,6,1),2)+1)+40,"")</f>
        <v/>
      </c>
      <c r="H24" s="38" t="str">
        <f>IF(MONTH((DATE(Jahr,6,1)-WEEKDAY(DATE(Jahr,6,1),2)+1)+41)=6,(DATE(Jahr,6,1)-WEEKDAY(DATE(Jahr,6,1),2)+1)+41,"")</f>
        <v/>
      </c>
      <c r="J24" s="39"/>
    </row>
    <row r="25" spans="1:10" ht="27.95" customHeight="1" x14ac:dyDescent="0.25">
      <c r="A25" s="82"/>
      <c r="B25" s="40" t="str">
        <f t="shared" ref="B25:H25" si="5">IF(ISNUMBER(B24),IF(IFERROR(INDEX(FT_Name,MATCH(B24,Feiertage_aktiv,0)),"")="",IFERROR(INDEX(BT_Name,MATCH(B24,BT_Datum,0)),""),IF(IFERROR(INDEX(BT_Name,MATCH(B24,BT_Datum,0)),"")="",IFERROR(INDEX(FT_Name,MATCH(B24,Feiertage_aktiv,0)),""),IF(LEFT(IFERROR(INDEX(BT_Name,MATCH(B24,BT_Datum,0)),""),LEN(IFERROR(INDEX(FT_Name,MATCH(B24,Feiertage_aktiv,0)),"")))=IFERROR(INDEX(FT_Name,MATCH(B24,Feiertage_aktiv,0)),""),IFERROR(INDEX(BT_Name,MATCH(B24,BT_Datum,0)),""),IFERROR(INDEX(FT_Name,MATCH(B24,Feiertage_aktiv,0)),"")&amp;" · "&amp;IFERROR(INDEX(BT_Name,MATCH(B24,BT_Datum,0)),"")))),"")</f>
        <v/>
      </c>
      <c r="C25" s="40" t="str">
        <f t="shared" si="5"/>
        <v/>
      </c>
      <c r="D25" s="40" t="str">
        <f t="shared" si="5"/>
        <v/>
      </c>
      <c r="E25" s="40" t="str">
        <f t="shared" si="5"/>
        <v/>
      </c>
      <c r="F25" s="40" t="str">
        <f t="shared" si="5"/>
        <v/>
      </c>
      <c r="G25" s="41" t="str">
        <f t="shared" si="5"/>
        <v/>
      </c>
      <c r="H25" s="41" t="str">
        <f t="shared" si="5"/>
        <v/>
      </c>
      <c r="J25" s="39"/>
    </row>
    <row r="26" spans="1:10" ht="21.95" customHeight="1" x14ac:dyDescent="0.25">
      <c r="A26" s="82"/>
      <c r="B26" s="42"/>
      <c r="C26" s="42"/>
      <c r="D26" s="42"/>
      <c r="E26" s="42"/>
      <c r="F26" s="42"/>
      <c r="G26" s="43"/>
      <c r="H26" s="43"/>
      <c r="J26" s="39"/>
    </row>
    <row r="27" spans="1:10" ht="23.1" customHeight="1" x14ac:dyDescent="0.25">
      <c r="A27" s="83"/>
      <c r="B27" s="44"/>
      <c r="C27" s="44"/>
      <c r="D27" s="44"/>
      <c r="E27" s="44"/>
      <c r="F27" s="44"/>
      <c r="G27" s="45"/>
      <c r="H27" s="45"/>
      <c r="J27" s="46"/>
    </row>
    <row r="28" spans="1:10" ht="15.95" customHeight="1" x14ac:dyDescent="0.25">
      <c r="A28" s="47" t="str">
        <f>"Rot: gesetzlicher Feiertag in "&amp;Bundesland&amp;". Grau: besondere Tage ohne Feiertag. Jahr und Bundesland ändern Sie im Blatt Jahreskalender."</f>
        <v>Rot: gesetzlicher Feiertag in Nordrhein-Westfalen. Grau: besondere Tage ohne Feiertag. Jahr und Bundesland ändern Sie im Blatt Jahreskalender.</v>
      </c>
    </row>
  </sheetData>
  <mergeCells count="6">
    <mergeCell ref="A4:A7"/>
    <mergeCell ref="A8:A11"/>
    <mergeCell ref="A12:A15"/>
    <mergeCell ref="A20:A23"/>
    <mergeCell ref="A24:A27"/>
    <mergeCell ref="A16:A19"/>
  </mergeCells>
  <conditionalFormatting sqref="B4:H7">
    <cfRule type="expression" dxfId="88" priority="1" stopIfTrue="1">
      <formula>B$4=""</formula>
    </cfRule>
    <cfRule type="expression" dxfId="87" priority="2">
      <formula>AND(ISNUMBER(B$4),COUNTIF(Feiertage_aktiv,B$4)&gt;0)</formula>
    </cfRule>
  </conditionalFormatting>
  <conditionalFormatting sqref="B8:H11">
    <cfRule type="expression" dxfId="86" priority="3" stopIfTrue="1">
      <formula>B$8=""</formula>
    </cfRule>
    <cfRule type="expression" dxfId="85" priority="4">
      <formula>AND(ISNUMBER(B$8),COUNTIF(Feiertage_aktiv,B$8)&gt;0)</formula>
    </cfRule>
  </conditionalFormatting>
  <conditionalFormatting sqref="B12:H15">
    <cfRule type="expression" dxfId="84" priority="5" stopIfTrue="1">
      <formula>B$12=""</formula>
    </cfRule>
    <cfRule type="expression" dxfId="83" priority="6">
      <formula>AND(ISNUMBER(B$12),COUNTIF(Feiertage_aktiv,B$12)&gt;0)</formula>
    </cfRule>
  </conditionalFormatting>
  <conditionalFormatting sqref="B16:H19">
    <cfRule type="expression" dxfId="82" priority="7" stopIfTrue="1">
      <formula>B$16=""</formula>
    </cfRule>
    <cfRule type="expression" dxfId="81" priority="8">
      <formula>AND(ISNUMBER(B$16),COUNTIF(Feiertage_aktiv,B$16)&gt;0)</formula>
    </cfRule>
  </conditionalFormatting>
  <conditionalFormatting sqref="B20:H23">
    <cfRule type="expression" dxfId="80" priority="9" stopIfTrue="1">
      <formula>B$20=""</formula>
    </cfRule>
    <cfRule type="expression" dxfId="79" priority="10">
      <formula>AND(ISNUMBER(B$20),COUNTIF(Feiertage_aktiv,B$20)&gt;0)</formula>
    </cfRule>
  </conditionalFormatting>
  <conditionalFormatting sqref="B24:H27">
    <cfRule type="expression" dxfId="78" priority="11" stopIfTrue="1">
      <formula>B$24=""</formula>
    </cfRule>
    <cfRule type="expression" dxfId="77" priority="12">
      <formula>AND(ISNUMBER(B$24),COUNTIF(Feiertage_aktiv,B$24)&gt;0)</formula>
    </cfRule>
  </conditionalFormatting>
  <printOptions horizontalCentered="1"/>
  <pageMargins left="0.4" right="0.4" top="0.45" bottom="0.55000000000000004" header="0.2" footer="0.25"/>
  <pageSetup paperSize="9" orientation="landscape"/>
  <headerFooter>
    <oddFooter>&amp;C&amp;8 &amp;K686E70Vorlage von seminaron.de&amp;R&amp;8 &amp;K686E70&amp;A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8"/>
  <sheetViews>
    <sheetView showGridLines="0" zoomScale="85" workbookViewId="0"/>
  </sheetViews>
  <sheetFormatPr baseColWidth="10" defaultColWidth="9.140625" defaultRowHeight="15" x14ac:dyDescent="0.25"/>
  <cols>
    <col min="1" max="1" width="5.42578125" customWidth="1"/>
    <col min="2" max="8" width="19.42578125" customWidth="1"/>
    <col min="9" max="9" width="1.42578125" customWidth="1"/>
    <col min="10" max="10" width="30" customWidth="1"/>
  </cols>
  <sheetData>
    <row r="1" spans="1:10" ht="36" customHeight="1" x14ac:dyDescent="0.25">
      <c r="A1" s="34" t="str">
        <f>"Juli "&amp;Jahr</f>
        <v>Juli 2027</v>
      </c>
    </row>
    <row r="2" spans="1:10" ht="18" customHeight="1" x14ac:dyDescent="0.25">
      <c r="A2" s="20" t="str">
        <f>"Feiertage: "&amp;Bundesland&amp;" · Arbeitstage Montag bis Freitag: "&amp;NETWORKDAYS(DATE(Jahr,7,1),DATE(Jahr,8,0),Feiertage_aktiv)</f>
        <v>Feiertage: Nordrhein-Westfalen · Arbeitstage Montag bis Freitag: 22</v>
      </c>
    </row>
    <row r="3" spans="1:10" ht="21" customHeight="1" x14ac:dyDescent="0.25">
      <c r="A3" s="35" t="s">
        <v>7</v>
      </c>
      <c r="B3" s="35" t="s">
        <v>56</v>
      </c>
      <c r="C3" s="35" t="s">
        <v>57</v>
      </c>
      <c r="D3" s="35" t="s">
        <v>58</v>
      </c>
      <c r="E3" s="35" t="s">
        <v>59</v>
      </c>
      <c r="F3" s="35" t="s">
        <v>60</v>
      </c>
      <c r="G3" s="36" t="s">
        <v>61</v>
      </c>
      <c r="H3" s="36" t="s">
        <v>62</v>
      </c>
      <c r="J3" s="35" t="s">
        <v>63</v>
      </c>
    </row>
    <row r="4" spans="1:10" ht="24.95" customHeight="1" x14ac:dyDescent="0.25">
      <c r="A4" s="81">
        <f>IF(OR(MONTH((DATE(Jahr,7,1)-WEEKDAY(DATE(Jahr,7,1),2)+1)+0)=7,MONTH((DATE(Jahr,7,1)-WEEKDAY(DATE(Jahr,7,1),2)+1)+0+6)=7),_xlfn.ISOWEEKNUM((DATE(Jahr,7,1)-WEEKDAY(DATE(Jahr,7,1),2)+1)+0),"")</f>
        <v>26</v>
      </c>
      <c r="B4" s="37" t="str">
        <f>IF(MONTH((DATE(Jahr,7,1)-WEEKDAY(DATE(Jahr,7,1),2)+1)+0)=7,(DATE(Jahr,7,1)-WEEKDAY(DATE(Jahr,7,1),2)+1)+0,"")</f>
        <v/>
      </c>
      <c r="C4" s="37" t="str">
        <f>IF(MONTH((DATE(Jahr,7,1)-WEEKDAY(DATE(Jahr,7,1),2)+1)+1)=7,(DATE(Jahr,7,1)-WEEKDAY(DATE(Jahr,7,1),2)+1)+1,"")</f>
        <v/>
      </c>
      <c r="D4" s="37" t="str">
        <f>IF(MONTH((DATE(Jahr,7,1)-WEEKDAY(DATE(Jahr,7,1),2)+1)+2)=7,(DATE(Jahr,7,1)-WEEKDAY(DATE(Jahr,7,1),2)+1)+2,"")</f>
        <v/>
      </c>
      <c r="E4" s="37">
        <f>IF(MONTH((DATE(Jahr,7,1)-WEEKDAY(DATE(Jahr,7,1),2)+1)+3)=7,(DATE(Jahr,7,1)-WEEKDAY(DATE(Jahr,7,1),2)+1)+3,"")</f>
        <v>46569</v>
      </c>
      <c r="F4" s="37">
        <f>IF(MONTH((DATE(Jahr,7,1)-WEEKDAY(DATE(Jahr,7,1),2)+1)+4)=7,(DATE(Jahr,7,1)-WEEKDAY(DATE(Jahr,7,1),2)+1)+4,"")</f>
        <v>46570</v>
      </c>
      <c r="G4" s="38">
        <f>IF(MONTH((DATE(Jahr,7,1)-WEEKDAY(DATE(Jahr,7,1),2)+1)+5)=7,(DATE(Jahr,7,1)-WEEKDAY(DATE(Jahr,7,1),2)+1)+5,"")</f>
        <v>46571</v>
      </c>
      <c r="H4" s="38">
        <f>IF(MONTH((DATE(Jahr,7,1)-WEEKDAY(DATE(Jahr,7,1),2)+1)+6)=7,(DATE(Jahr,7,1)-WEEKDAY(DATE(Jahr,7,1),2)+1)+6,"")</f>
        <v>46572</v>
      </c>
      <c r="J4" s="39"/>
    </row>
    <row r="5" spans="1:10" ht="27.95" customHeight="1" x14ac:dyDescent="0.25">
      <c r="A5" s="82"/>
      <c r="B5" s="40" t="str">
        <f t="shared" ref="B5:H5" si="0">IF(ISNUMBER(B4),IF(IFERROR(INDEX(FT_Name,MATCH(B4,Feiertage_aktiv,0)),"")="",IFERROR(INDEX(BT_Name,MATCH(B4,BT_Datum,0)),""),IF(IFERROR(INDEX(BT_Name,MATCH(B4,BT_Datum,0)),"")="",IFERROR(INDEX(FT_Name,MATCH(B4,Feiertage_aktiv,0)),""),IF(LEFT(IFERROR(INDEX(BT_Name,MATCH(B4,BT_Datum,0)),""),LEN(IFERROR(INDEX(FT_Name,MATCH(B4,Feiertage_aktiv,0)),"")))=IFERROR(INDEX(FT_Name,MATCH(B4,Feiertage_aktiv,0)),""),IFERROR(INDEX(BT_Name,MATCH(B4,BT_Datum,0)),""),IFERROR(INDEX(FT_Name,MATCH(B4,Feiertage_aktiv,0)),"")&amp;" · "&amp;IFERROR(INDEX(BT_Name,MATCH(B4,BT_Datum,0)),"")))),"")</f>
        <v/>
      </c>
      <c r="C5" s="40" t="str">
        <f t="shared" si="0"/>
        <v/>
      </c>
      <c r="D5" s="40" t="str">
        <f t="shared" si="0"/>
        <v/>
      </c>
      <c r="E5" s="40" t="str">
        <f t="shared" si="0"/>
        <v/>
      </c>
      <c r="F5" s="40" t="str">
        <f t="shared" si="0"/>
        <v/>
      </c>
      <c r="G5" s="41" t="str">
        <f t="shared" si="0"/>
        <v/>
      </c>
      <c r="H5" s="41" t="str">
        <f t="shared" si="0"/>
        <v/>
      </c>
      <c r="J5" s="39"/>
    </row>
    <row r="6" spans="1:10" ht="21.95" customHeight="1" x14ac:dyDescent="0.25">
      <c r="A6" s="82"/>
      <c r="B6" s="42"/>
      <c r="C6" s="42"/>
      <c r="D6" s="42"/>
      <c r="E6" s="42"/>
      <c r="F6" s="42"/>
      <c r="G6" s="43"/>
      <c r="H6" s="43"/>
      <c r="J6" s="39"/>
    </row>
    <row r="7" spans="1:10" ht="23.1" customHeight="1" x14ac:dyDescent="0.25">
      <c r="A7" s="83"/>
      <c r="B7" s="44"/>
      <c r="C7" s="44"/>
      <c r="D7" s="44"/>
      <c r="E7" s="44"/>
      <c r="F7" s="44"/>
      <c r="G7" s="45"/>
      <c r="H7" s="45"/>
      <c r="J7" s="46"/>
    </row>
    <row r="8" spans="1:10" ht="24.95" customHeight="1" x14ac:dyDescent="0.25">
      <c r="A8" s="81">
        <f>IF(OR(MONTH((DATE(Jahr,7,1)-WEEKDAY(DATE(Jahr,7,1),2)+1)+7)=7,MONTH((DATE(Jahr,7,1)-WEEKDAY(DATE(Jahr,7,1),2)+1)+7+6)=7),_xlfn.ISOWEEKNUM((DATE(Jahr,7,1)-WEEKDAY(DATE(Jahr,7,1),2)+1)+7),"")</f>
        <v>27</v>
      </c>
      <c r="B8" s="37">
        <f>IF(MONTH((DATE(Jahr,7,1)-WEEKDAY(DATE(Jahr,7,1),2)+1)+7)=7,(DATE(Jahr,7,1)-WEEKDAY(DATE(Jahr,7,1),2)+1)+7,"")</f>
        <v>46573</v>
      </c>
      <c r="C8" s="37">
        <f>IF(MONTH((DATE(Jahr,7,1)-WEEKDAY(DATE(Jahr,7,1),2)+1)+8)=7,(DATE(Jahr,7,1)-WEEKDAY(DATE(Jahr,7,1),2)+1)+8,"")</f>
        <v>46574</v>
      </c>
      <c r="D8" s="37">
        <f>IF(MONTH((DATE(Jahr,7,1)-WEEKDAY(DATE(Jahr,7,1),2)+1)+9)=7,(DATE(Jahr,7,1)-WEEKDAY(DATE(Jahr,7,1),2)+1)+9,"")</f>
        <v>46575</v>
      </c>
      <c r="E8" s="37">
        <f>IF(MONTH((DATE(Jahr,7,1)-WEEKDAY(DATE(Jahr,7,1),2)+1)+10)=7,(DATE(Jahr,7,1)-WEEKDAY(DATE(Jahr,7,1),2)+1)+10,"")</f>
        <v>46576</v>
      </c>
      <c r="F8" s="37">
        <f>IF(MONTH((DATE(Jahr,7,1)-WEEKDAY(DATE(Jahr,7,1),2)+1)+11)=7,(DATE(Jahr,7,1)-WEEKDAY(DATE(Jahr,7,1),2)+1)+11,"")</f>
        <v>46577</v>
      </c>
      <c r="G8" s="38">
        <f>IF(MONTH((DATE(Jahr,7,1)-WEEKDAY(DATE(Jahr,7,1),2)+1)+12)=7,(DATE(Jahr,7,1)-WEEKDAY(DATE(Jahr,7,1),2)+1)+12,"")</f>
        <v>46578</v>
      </c>
      <c r="H8" s="38">
        <f>IF(MONTH((DATE(Jahr,7,1)-WEEKDAY(DATE(Jahr,7,1),2)+1)+13)=7,(DATE(Jahr,7,1)-WEEKDAY(DATE(Jahr,7,1),2)+1)+13,"")</f>
        <v>46579</v>
      </c>
      <c r="J8" s="39"/>
    </row>
    <row r="9" spans="1:10" ht="27.95" customHeight="1" x14ac:dyDescent="0.25">
      <c r="A9" s="82"/>
      <c r="B9" s="40" t="str">
        <f t="shared" ref="B9:H9" si="1">IF(ISNUMBER(B8),IF(IFERROR(INDEX(FT_Name,MATCH(B8,Feiertage_aktiv,0)),"")="",IFERROR(INDEX(BT_Name,MATCH(B8,BT_Datum,0)),""),IF(IFERROR(INDEX(BT_Name,MATCH(B8,BT_Datum,0)),"")="",IFERROR(INDEX(FT_Name,MATCH(B8,Feiertage_aktiv,0)),""),IF(LEFT(IFERROR(INDEX(BT_Name,MATCH(B8,BT_Datum,0)),""),LEN(IFERROR(INDEX(FT_Name,MATCH(B8,Feiertage_aktiv,0)),"")))=IFERROR(INDEX(FT_Name,MATCH(B8,Feiertage_aktiv,0)),""),IFERROR(INDEX(BT_Name,MATCH(B8,BT_Datum,0)),""),IFERROR(INDEX(FT_Name,MATCH(B8,Feiertage_aktiv,0)),"")&amp;" · "&amp;IFERROR(INDEX(BT_Name,MATCH(B8,BT_Datum,0)),"")))),"")</f>
        <v/>
      </c>
      <c r="C9" s="40" t="str">
        <f t="shared" si="1"/>
        <v/>
      </c>
      <c r="D9" s="40" t="str">
        <f t="shared" si="1"/>
        <v/>
      </c>
      <c r="E9" s="40" t="str">
        <f t="shared" si="1"/>
        <v/>
      </c>
      <c r="F9" s="40" t="str">
        <f t="shared" si="1"/>
        <v/>
      </c>
      <c r="G9" s="41" t="str">
        <f t="shared" si="1"/>
        <v/>
      </c>
      <c r="H9" s="41" t="str">
        <f t="shared" si="1"/>
        <v/>
      </c>
      <c r="J9" s="39"/>
    </row>
    <row r="10" spans="1:10" ht="21.95" customHeight="1" x14ac:dyDescent="0.25">
      <c r="A10" s="82"/>
      <c r="B10" s="42"/>
      <c r="C10" s="42"/>
      <c r="D10" s="42"/>
      <c r="E10" s="42"/>
      <c r="F10" s="42"/>
      <c r="G10" s="43"/>
      <c r="H10" s="43"/>
      <c r="J10" s="39"/>
    </row>
    <row r="11" spans="1:10" ht="23.1" customHeight="1" x14ac:dyDescent="0.25">
      <c r="A11" s="83"/>
      <c r="B11" s="44"/>
      <c r="C11" s="44"/>
      <c r="D11" s="44"/>
      <c r="E11" s="44"/>
      <c r="F11" s="44"/>
      <c r="G11" s="45"/>
      <c r="H11" s="45"/>
      <c r="J11" s="46"/>
    </row>
    <row r="12" spans="1:10" ht="24.95" customHeight="1" x14ac:dyDescent="0.25">
      <c r="A12" s="81">
        <f>IF(OR(MONTH((DATE(Jahr,7,1)-WEEKDAY(DATE(Jahr,7,1),2)+1)+14)=7,MONTH((DATE(Jahr,7,1)-WEEKDAY(DATE(Jahr,7,1),2)+1)+14+6)=7),_xlfn.ISOWEEKNUM((DATE(Jahr,7,1)-WEEKDAY(DATE(Jahr,7,1),2)+1)+14),"")</f>
        <v>28</v>
      </c>
      <c r="B12" s="37">
        <f>IF(MONTH((DATE(Jahr,7,1)-WEEKDAY(DATE(Jahr,7,1),2)+1)+14)=7,(DATE(Jahr,7,1)-WEEKDAY(DATE(Jahr,7,1),2)+1)+14,"")</f>
        <v>46580</v>
      </c>
      <c r="C12" s="37">
        <f>IF(MONTH((DATE(Jahr,7,1)-WEEKDAY(DATE(Jahr,7,1),2)+1)+15)=7,(DATE(Jahr,7,1)-WEEKDAY(DATE(Jahr,7,1),2)+1)+15,"")</f>
        <v>46581</v>
      </c>
      <c r="D12" s="37">
        <f>IF(MONTH((DATE(Jahr,7,1)-WEEKDAY(DATE(Jahr,7,1),2)+1)+16)=7,(DATE(Jahr,7,1)-WEEKDAY(DATE(Jahr,7,1),2)+1)+16,"")</f>
        <v>46582</v>
      </c>
      <c r="E12" s="37">
        <f>IF(MONTH((DATE(Jahr,7,1)-WEEKDAY(DATE(Jahr,7,1),2)+1)+17)=7,(DATE(Jahr,7,1)-WEEKDAY(DATE(Jahr,7,1),2)+1)+17,"")</f>
        <v>46583</v>
      </c>
      <c r="F12" s="37">
        <f>IF(MONTH((DATE(Jahr,7,1)-WEEKDAY(DATE(Jahr,7,1),2)+1)+18)=7,(DATE(Jahr,7,1)-WEEKDAY(DATE(Jahr,7,1),2)+1)+18,"")</f>
        <v>46584</v>
      </c>
      <c r="G12" s="38">
        <f>IF(MONTH((DATE(Jahr,7,1)-WEEKDAY(DATE(Jahr,7,1),2)+1)+19)=7,(DATE(Jahr,7,1)-WEEKDAY(DATE(Jahr,7,1),2)+1)+19,"")</f>
        <v>46585</v>
      </c>
      <c r="H12" s="38">
        <f>IF(MONTH((DATE(Jahr,7,1)-WEEKDAY(DATE(Jahr,7,1),2)+1)+20)=7,(DATE(Jahr,7,1)-WEEKDAY(DATE(Jahr,7,1),2)+1)+20,"")</f>
        <v>46586</v>
      </c>
      <c r="J12" s="39"/>
    </row>
    <row r="13" spans="1:10" ht="27.95" customHeight="1" x14ac:dyDescent="0.25">
      <c r="A13" s="82"/>
      <c r="B13" s="40" t="str">
        <f t="shared" ref="B13:H13" si="2">IF(ISNUMBER(B12),IF(IFERROR(INDEX(FT_Name,MATCH(B12,Feiertage_aktiv,0)),"")="",IFERROR(INDEX(BT_Name,MATCH(B12,BT_Datum,0)),""),IF(IFERROR(INDEX(BT_Name,MATCH(B12,BT_Datum,0)),"")="",IFERROR(INDEX(FT_Name,MATCH(B12,Feiertage_aktiv,0)),""),IF(LEFT(IFERROR(INDEX(BT_Name,MATCH(B12,BT_Datum,0)),""),LEN(IFERROR(INDEX(FT_Name,MATCH(B12,Feiertage_aktiv,0)),"")))=IFERROR(INDEX(FT_Name,MATCH(B12,Feiertage_aktiv,0)),""),IFERROR(INDEX(BT_Name,MATCH(B12,BT_Datum,0)),""),IFERROR(INDEX(FT_Name,MATCH(B12,Feiertage_aktiv,0)),"")&amp;" · "&amp;IFERROR(INDEX(BT_Name,MATCH(B12,BT_Datum,0)),"")))),"")</f>
        <v/>
      </c>
      <c r="C13" s="40" t="str">
        <f t="shared" si="2"/>
        <v/>
      </c>
      <c r="D13" s="40" t="str">
        <f t="shared" si="2"/>
        <v/>
      </c>
      <c r="E13" s="40" t="str">
        <f t="shared" si="2"/>
        <v/>
      </c>
      <c r="F13" s="40" t="str">
        <f t="shared" si="2"/>
        <v/>
      </c>
      <c r="G13" s="41" t="str">
        <f t="shared" si="2"/>
        <v/>
      </c>
      <c r="H13" s="41" t="str">
        <f t="shared" si="2"/>
        <v/>
      </c>
      <c r="J13" s="39"/>
    </row>
    <row r="14" spans="1:10" ht="21.95" customHeight="1" x14ac:dyDescent="0.25">
      <c r="A14" s="82"/>
      <c r="B14" s="42"/>
      <c r="C14" s="42"/>
      <c r="D14" s="42"/>
      <c r="E14" s="42"/>
      <c r="F14" s="42"/>
      <c r="G14" s="43"/>
      <c r="H14" s="43"/>
      <c r="J14" s="39"/>
    </row>
    <row r="15" spans="1:10" ht="23.1" customHeight="1" x14ac:dyDescent="0.25">
      <c r="A15" s="83"/>
      <c r="B15" s="44"/>
      <c r="C15" s="44"/>
      <c r="D15" s="44"/>
      <c r="E15" s="44"/>
      <c r="F15" s="44"/>
      <c r="G15" s="45"/>
      <c r="H15" s="45"/>
      <c r="J15" s="46"/>
    </row>
    <row r="16" spans="1:10" ht="24.95" customHeight="1" x14ac:dyDescent="0.25">
      <c r="A16" s="81">
        <f>IF(OR(MONTH((DATE(Jahr,7,1)-WEEKDAY(DATE(Jahr,7,1),2)+1)+21)=7,MONTH((DATE(Jahr,7,1)-WEEKDAY(DATE(Jahr,7,1),2)+1)+21+6)=7),_xlfn.ISOWEEKNUM((DATE(Jahr,7,1)-WEEKDAY(DATE(Jahr,7,1),2)+1)+21),"")</f>
        <v>29</v>
      </c>
      <c r="B16" s="37">
        <f>IF(MONTH((DATE(Jahr,7,1)-WEEKDAY(DATE(Jahr,7,1),2)+1)+21)=7,(DATE(Jahr,7,1)-WEEKDAY(DATE(Jahr,7,1),2)+1)+21,"")</f>
        <v>46587</v>
      </c>
      <c r="C16" s="37">
        <f>IF(MONTH((DATE(Jahr,7,1)-WEEKDAY(DATE(Jahr,7,1),2)+1)+22)=7,(DATE(Jahr,7,1)-WEEKDAY(DATE(Jahr,7,1),2)+1)+22,"")</f>
        <v>46588</v>
      </c>
      <c r="D16" s="37">
        <f>IF(MONTH((DATE(Jahr,7,1)-WEEKDAY(DATE(Jahr,7,1),2)+1)+23)=7,(DATE(Jahr,7,1)-WEEKDAY(DATE(Jahr,7,1),2)+1)+23,"")</f>
        <v>46589</v>
      </c>
      <c r="E16" s="37">
        <f>IF(MONTH((DATE(Jahr,7,1)-WEEKDAY(DATE(Jahr,7,1),2)+1)+24)=7,(DATE(Jahr,7,1)-WEEKDAY(DATE(Jahr,7,1),2)+1)+24,"")</f>
        <v>46590</v>
      </c>
      <c r="F16" s="37">
        <f>IF(MONTH((DATE(Jahr,7,1)-WEEKDAY(DATE(Jahr,7,1),2)+1)+25)=7,(DATE(Jahr,7,1)-WEEKDAY(DATE(Jahr,7,1),2)+1)+25,"")</f>
        <v>46591</v>
      </c>
      <c r="G16" s="38">
        <f>IF(MONTH((DATE(Jahr,7,1)-WEEKDAY(DATE(Jahr,7,1),2)+1)+26)=7,(DATE(Jahr,7,1)-WEEKDAY(DATE(Jahr,7,1),2)+1)+26,"")</f>
        <v>46592</v>
      </c>
      <c r="H16" s="38">
        <f>IF(MONTH((DATE(Jahr,7,1)-WEEKDAY(DATE(Jahr,7,1),2)+1)+27)=7,(DATE(Jahr,7,1)-WEEKDAY(DATE(Jahr,7,1),2)+1)+27,"")</f>
        <v>46593</v>
      </c>
      <c r="J16" s="39"/>
    </row>
    <row r="17" spans="1:10" ht="27.95" customHeight="1" x14ac:dyDescent="0.25">
      <c r="A17" s="82"/>
      <c r="B17" s="40" t="str">
        <f t="shared" ref="B17:H17" si="3">IF(ISNUMBER(B16),IF(IFERROR(INDEX(FT_Name,MATCH(B16,Feiertage_aktiv,0)),"")="",IFERROR(INDEX(BT_Name,MATCH(B16,BT_Datum,0)),""),IF(IFERROR(INDEX(BT_Name,MATCH(B16,BT_Datum,0)),"")="",IFERROR(INDEX(FT_Name,MATCH(B16,Feiertage_aktiv,0)),""),IF(LEFT(IFERROR(INDEX(BT_Name,MATCH(B16,BT_Datum,0)),""),LEN(IFERROR(INDEX(FT_Name,MATCH(B16,Feiertage_aktiv,0)),"")))=IFERROR(INDEX(FT_Name,MATCH(B16,Feiertage_aktiv,0)),""),IFERROR(INDEX(BT_Name,MATCH(B16,BT_Datum,0)),""),IFERROR(INDEX(FT_Name,MATCH(B16,Feiertage_aktiv,0)),"")&amp;" · "&amp;IFERROR(INDEX(BT_Name,MATCH(B16,BT_Datum,0)),"")))),"")</f>
        <v/>
      </c>
      <c r="C17" s="40" t="str">
        <f t="shared" si="3"/>
        <v/>
      </c>
      <c r="D17" s="40" t="str">
        <f t="shared" si="3"/>
        <v/>
      </c>
      <c r="E17" s="40" t="str">
        <f t="shared" si="3"/>
        <v/>
      </c>
      <c r="F17" s="40" t="str">
        <f t="shared" si="3"/>
        <v/>
      </c>
      <c r="G17" s="41" t="str">
        <f t="shared" si="3"/>
        <v/>
      </c>
      <c r="H17" s="41" t="str">
        <f t="shared" si="3"/>
        <v/>
      </c>
      <c r="J17" s="39"/>
    </row>
    <row r="18" spans="1:10" ht="21.95" customHeight="1" x14ac:dyDescent="0.25">
      <c r="A18" s="82"/>
      <c r="B18" s="42"/>
      <c r="C18" s="42"/>
      <c r="D18" s="42"/>
      <c r="E18" s="42"/>
      <c r="F18" s="42"/>
      <c r="G18" s="43"/>
      <c r="H18" s="43"/>
      <c r="J18" s="39"/>
    </row>
    <row r="19" spans="1:10" ht="23.1" customHeight="1" x14ac:dyDescent="0.25">
      <c r="A19" s="83"/>
      <c r="B19" s="44"/>
      <c r="C19" s="44"/>
      <c r="D19" s="44"/>
      <c r="E19" s="44"/>
      <c r="F19" s="44"/>
      <c r="G19" s="45"/>
      <c r="H19" s="45"/>
      <c r="J19" s="46"/>
    </row>
    <row r="20" spans="1:10" ht="24.95" customHeight="1" x14ac:dyDescent="0.25">
      <c r="A20" s="81">
        <f>IF(OR(MONTH((DATE(Jahr,7,1)-WEEKDAY(DATE(Jahr,7,1),2)+1)+28)=7,MONTH((DATE(Jahr,7,1)-WEEKDAY(DATE(Jahr,7,1),2)+1)+28+6)=7),_xlfn.ISOWEEKNUM((DATE(Jahr,7,1)-WEEKDAY(DATE(Jahr,7,1),2)+1)+28),"")</f>
        <v>30</v>
      </c>
      <c r="B20" s="37">
        <f>IF(MONTH((DATE(Jahr,7,1)-WEEKDAY(DATE(Jahr,7,1),2)+1)+28)=7,(DATE(Jahr,7,1)-WEEKDAY(DATE(Jahr,7,1),2)+1)+28,"")</f>
        <v>46594</v>
      </c>
      <c r="C20" s="37">
        <f>IF(MONTH((DATE(Jahr,7,1)-WEEKDAY(DATE(Jahr,7,1),2)+1)+29)=7,(DATE(Jahr,7,1)-WEEKDAY(DATE(Jahr,7,1),2)+1)+29,"")</f>
        <v>46595</v>
      </c>
      <c r="D20" s="37">
        <f>IF(MONTH((DATE(Jahr,7,1)-WEEKDAY(DATE(Jahr,7,1),2)+1)+30)=7,(DATE(Jahr,7,1)-WEEKDAY(DATE(Jahr,7,1),2)+1)+30,"")</f>
        <v>46596</v>
      </c>
      <c r="E20" s="37">
        <f>IF(MONTH((DATE(Jahr,7,1)-WEEKDAY(DATE(Jahr,7,1),2)+1)+31)=7,(DATE(Jahr,7,1)-WEEKDAY(DATE(Jahr,7,1),2)+1)+31,"")</f>
        <v>46597</v>
      </c>
      <c r="F20" s="37">
        <f>IF(MONTH((DATE(Jahr,7,1)-WEEKDAY(DATE(Jahr,7,1),2)+1)+32)=7,(DATE(Jahr,7,1)-WEEKDAY(DATE(Jahr,7,1),2)+1)+32,"")</f>
        <v>46598</v>
      </c>
      <c r="G20" s="38">
        <f>IF(MONTH((DATE(Jahr,7,1)-WEEKDAY(DATE(Jahr,7,1),2)+1)+33)=7,(DATE(Jahr,7,1)-WEEKDAY(DATE(Jahr,7,1),2)+1)+33,"")</f>
        <v>46599</v>
      </c>
      <c r="H20" s="38" t="str">
        <f>IF(MONTH((DATE(Jahr,7,1)-WEEKDAY(DATE(Jahr,7,1),2)+1)+34)=7,(DATE(Jahr,7,1)-WEEKDAY(DATE(Jahr,7,1),2)+1)+34,"")</f>
        <v/>
      </c>
      <c r="J20" s="39"/>
    </row>
    <row r="21" spans="1:10" ht="27.95" customHeight="1" x14ac:dyDescent="0.25">
      <c r="A21" s="82"/>
      <c r="B21" s="40" t="str">
        <f t="shared" ref="B21:H21" si="4">IF(ISNUMBER(B20),IF(IFERROR(INDEX(FT_Name,MATCH(B20,Feiertage_aktiv,0)),"")="",IFERROR(INDEX(BT_Name,MATCH(B20,BT_Datum,0)),""),IF(IFERROR(INDEX(BT_Name,MATCH(B20,BT_Datum,0)),"")="",IFERROR(INDEX(FT_Name,MATCH(B20,Feiertage_aktiv,0)),""),IF(LEFT(IFERROR(INDEX(BT_Name,MATCH(B20,BT_Datum,0)),""),LEN(IFERROR(INDEX(FT_Name,MATCH(B20,Feiertage_aktiv,0)),"")))=IFERROR(INDEX(FT_Name,MATCH(B20,Feiertage_aktiv,0)),""),IFERROR(INDEX(BT_Name,MATCH(B20,BT_Datum,0)),""),IFERROR(INDEX(FT_Name,MATCH(B20,Feiertage_aktiv,0)),"")&amp;" · "&amp;IFERROR(INDEX(BT_Name,MATCH(B20,BT_Datum,0)),"")))),"")</f>
        <v/>
      </c>
      <c r="C21" s="40" t="str">
        <f t="shared" si="4"/>
        <v/>
      </c>
      <c r="D21" s="40" t="str">
        <f t="shared" si="4"/>
        <v/>
      </c>
      <c r="E21" s="40" t="str">
        <f t="shared" si="4"/>
        <v/>
      </c>
      <c r="F21" s="40" t="str">
        <f t="shared" si="4"/>
        <v/>
      </c>
      <c r="G21" s="41" t="str">
        <f t="shared" si="4"/>
        <v/>
      </c>
      <c r="H21" s="41" t="str">
        <f t="shared" si="4"/>
        <v/>
      </c>
      <c r="J21" s="39"/>
    </row>
    <row r="22" spans="1:10" ht="21.95" customHeight="1" x14ac:dyDescent="0.25">
      <c r="A22" s="82"/>
      <c r="B22" s="42"/>
      <c r="C22" s="42"/>
      <c r="D22" s="42"/>
      <c r="E22" s="42"/>
      <c r="F22" s="42"/>
      <c r="G22" s="43"/>
      <c r="H22" s="43"/>
      <c r="J22" s="39"/>
    </row>
    <row r="23" spans="1:10" ht="23.1" customHeight="1" x14ac:dyDescent="0.25">
      <c r="A23" s="83"/>
      <c r="B23" s="44"/>
      <c r="C23" s="44"/>
      <c r="D23" s="44"/>
      <c r="E23" s="44"/>
      <c r="F23" s="44"/>
      <c r="G23" s="45"/>
      <c r="H23" s="45"/>
      <c r="J23" s="46"/>
    </row>
    <row r="24" spans="1:10" ht="24.95" customHeight="1" x14ac:dyDescent="0.25">
      <c r="A24" s="81" t="str">
        <f>IF(OR(MONTH((DATE(Jahr,7,1)-WEEKDAY(DATE(Jahr,7,1),2)+1)+35)=7,MONTH((DATE(Jahr,7,1)-WEEKDAY(DATE(Jahr,7,1),2)+1)+35+6)=7),_xlfn.ISOWEEKNUM((DATE(Jahr,7,1)-WEEKDAY(DATE(Jahr,7,1),2)+1)+35),"")</f>
        <v/>
      </c>
      <c r="B24" s="37" t="str">
        <f>IF(MONTH((DATE(Jahr,7,1)-WEEKDAY(DATE(Jahr,7,1),2)+1)+35)=7,(DATE(Jahr,7,1)-WEEKDAY(DATE(Jahr,7,1),2)+1)+35,"")</f>
        <v/>
      </c>
      <c r="C24" s="37" t="str">
        <f>IF(MONTH((DATE(Jahr,7,1)-WEEKDAY(DATE(Jahr,7,1),2)+1)+36)=7,(DATE(Jahr,7,1)-WEEKDAY(DATE(Jahr,7,1),2)+1)+36,"")</f>
        <v/>
      </c>
      <c r="D24" s="37" t="str">
        <f>IF(MONTH((DATE(Jahr,7,1)-WEEKDAY(DATE(Jahr,7,1),2)+1)+37)=7,(DATE(Jahr,7,1)-WEEKDAY(DATE(Jahr,7,1),2)+1)+37,"")</f>
        <v/>
      </c>
      <c r="E24" s="37" t="str">
        <f>IF(MONTH((DATE(Jahr,7,1)-WEEKDAY(DATE(Jahr,7,1),2)+1)+38)=7,(DATE(Jahr,7,1)-WEEKDAY(DATE(Jahr,7,1),2)+1)+38,"")</f>
        <v/>
      </c>
      <c r="F24" s="37" t="str">
        <f>IF(MONTH((DATE(Jahr,7,1)-WEEKDAY(DATE(Jahr,7,1),2)+1)+39)=7,(DATE(Jahr,7,1)-WEEKDAY(DATE(Jahr,7,1),2)+1)+39,"")</f>
        <v/>
      </c>
      <c r="G24" s="38" t="str">
        <f>IF(MONTH((DATE(Jahr,7,1)-WEEKDAY(DATE(Jahr,7,1),2)+1)+40)=7,(DATE(Jahr,7,1)-WEEKDAY(DATE(Jahr,7,1),2)+1)+40,"")</f>
        <v/>
      </c>
      <c r="H24" s="38" t="str">
        <f>IF(MONTH((DATE(Jahr,7,1)-WEEKDAY(DATE(Jahr,7,1),2)+1)+41)=7,(DATE(Jahr,7,1)-WEEKDAY(DATE(Jahr,7,1),2)+1)+41,"")</f>
        <v/>
      </c>
      <c r="J24" s="39"/>
    </row>
    <row r="25" spans="1:10" ht="27.95" customHeight="1" x14ac:dyDescent="0.25">
      <c r="A25" s="82"/>
      <c r="B25" s="40" t="str">
        <f t="shared" ref="B25:H25" si="5">IF(ISNUMBER(B24),IF(IFERROR(INDEX(FT_Name,MATCH(B24,Feiertage_aktiv,0)),"")="",IFERROR(INDEX(BT_Name,MATCH(B24,BT_Datum,0)),""),IF(IFERROR(INDEX(BT_Name,MATCH(B24,BT_Datum,0)),"")="",IFERROR(INDEX(FT_Name,MATCH(B24,Feiertage_aktiv,0)),""),IF(LEFT(IFERROR(INDEX(BT_Name,MATCH(B24,BT_Datum,0)),""),LEN(IFERROR(INDEX(FT_Name,MATCH(B24,Feiertage_aktiv,0)),"")))=IFERROR(INDEX(FT_Name,MATCH(B24,Feiertage_aktiv,0)),""),IFERROR(INDEX(BT_Name,MATCH(B24,BT_Datum,0)),""),IFERROR(INDEX(FT_Name,MATCH(B24,Feiertage_aktiv,0)),"")&amp;" · "&amp;IFERROR(INDEX(BT_Name,MATCH(B24,BT_Datum,0)),"")))),"")</f>
        <v/>
      </c>
      <c r="C25" s="40" t="str">
        <f t="shared" si="5"/>
        <v/>
      </c>
      <c r="D25" s="40" t="str">
        <f t="shared" si="5"/>
        <v/>
      </c>
      <c r="E25" s="40" t="str">
        <f t="shared" si="5"/>
        <v/>
      </c>
      <c r="F25" s="40" t="str">
        <f t="shared" si="5"/>
        <v/>
      </c>
      <c r="G25" s="41" t="str">
        <f t="shared" si="5"/>
        <v/>
      </c>
      <c r="H25" s="41" t="str">
        <f t="shared" si="5"/>
        <v/>
      </c>
      <c r="J25" s="39"/>
    </row>
    <row r="26" spans="1:10" ht="21.95" customHeight="1" x14ac:dyDescent="0.25">
      <c r="A26" s="82"/>
      <c r="B26" s="42"/>
      <c r="C26" s="42"/>
      <c r="D26" s="42"/>
      <c r="E26" s="42"/>
      <c r="F26" s="42"/>
      <c r="G26" s="43"/>
      <c r="H26" s="43"/>
      <c r="J26" s="39"/>
    </row>
    <row r="27" spans="1:10" ht="23.1" customHeight="1" x14ac:dyDescent="0.25">
      <c r="A27" s="83"/>
      <c r="B27" s="44"/>
      <c r="C27" s="44"/>
      <c r="D27" s="44"/>
      <c r="E27" s="44"/>
      <c r="F27" s="44"/>
      <c r="G27" s="45"/>
      <c r="H27" s="45"/>
      <c r="J27" s="46"/>
    </row>
    <row r="28" spans="1:10" ht="15.95" customHeight="1" x14ac:dyDescent="0.25">
      <c r="A28" s="47" t="str">
        <f>"Rot: gesetzlicher Feiertag in "&amp;Bundesland&amp;". Grau: besondere Tage ohne Feiertag. Jahr und Bundesland ändern Sie im Blatt Jahreskalender."</f>
        <v>Rot: gesetzlicher Feiertag in Nordrhein-Westfalen. Grau: besondere Tage ohne Feiertag. Jahr und Bundesland ändern Sie im Blatt Jahreskalender.</v>
      </c>
    </row>
  </sheetData>
  <mergeCells count="6">
    <mergeCell ref="A4:A7"/>
    <mergeCell ref="A8:A11"/>
    <mergeCell ref="A12:A15"/>
    <mergeCell ref="A20:A23"/>
    <mergeCell ref="A24:A27"/>
    <mergeCell ref="A16:A19"/>
  </mergeCells>
  <conditionalFormatting sqref="B4:H7">
    <cfRule type="expression" dxfId="76" priority="1" stopIfTrue="1">
      <formula>B$4=""</formula>
    </cfRule>
    <cfRule type="expression" dxfId="75" priority="2">
      <formula>AND(ISNUMBER(B$4),COUNTIF(Feiertage_aktiv,B$4)&gt;0)</formula>
    </cfRule>
  </conditionalFormatting>
  <conditionalFormatting sqref="B8:H11">
    <cfRule type="expression" dxfId="74" priority="3" stopIfTrue="1">
      <formula>B$8=""</formula>
    </cfRule>
    <cfRule type="expression" dxfId="73" priority="4">
      <formula>AND(ISNUMBER(B$8),COUNTIF(Feiertage_aktiv,B$8)&gt;0)</formula>
    </cfRule>
  </conditionalFormatting>
  <conditionalFormatting sqref="B12:H15">
    <cfRule type="expression" dxfId="72" priority="5" stopIfTrue="1">
      <formula>B$12=""</formula>
    </cfRule>
    <cfRule type="expression" dxfId="71" priority="6">
      <formula>AND(ISNUMBER(B$12),COUNTIF(Feiertage_aktiv,B$12)&gt;0)</formula>
    </cfRule>
  </conditionalFormatting>
  <conditionalFormatting sqref="B16:H19">
    <cfRule type="expression" dxfId="70" priority="7" stopIfTrue="1">
      <formula>B$16=""</formula>
    </cfRule>
    <cfRule type="expression" dxfId="69" priority="8">
      <formula>AND(ISNUMBER(B$16),COUNTIF(Feiertage_aktiv,B$16)&gt;0)</formula>
    </cfRule>
  </conditionalFormatting>
  <conditionalFormatting sqref="B20:H23">
    <cfRule type="expression" dxfId="68" priority="9" stopIfTrue="1">
      <formula>B$20=""</formula>
    </cfRule>
    <cfRule type="expression" dxfId="67" priority="10">
      <formula>AND(ISNUMBER(B$20),COUNTIF(Feiertage_aktiv,B$20)&gt;0)</formula>
    </cfRule>
  </conditionalFormatting>
  <conditionalFormatting sqref="B24:H27">
    <cfRule type="expression" dxfId="66" priority="11" stopIfTrue="1">
      <formula>B$24=""</formula>
    </cfRule>
    <cfRule type="expression" dxfId="65" priority="12">
      <formula>AND(ISNUMBER(B$24),COUNTIF(Feiertage_aktiv,B$24)&gt;0)</formula>
    </cfRule>
  </conditionalFormatting>
  <printOptions horizontalCentered="1"/>
  <pageMargins left="0.4" right="0.4" top="0.45" bottom="0.55000000000000004" header="0.2" footer="0.25"/>
  <pageSetup paperSize="9" orientation="landscape"/>
  <headerFooter>
    <oddFooter>&amp;C&amp;8 &amp;K686E70Vorlage von seminaron.de&amp;R&amp;8 &amp;K686E70&amp;A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8"/>
  <sheetViews>
    <sheetView showGridLines="0" zoomScale="85" workbookViewId="0"/>
  </sheetViews>
  <sheetFormatPr baseColWidth="10" defaultColWidth="9.140625" defaultRowHeight="15" x14ac:dyDescent="0.25"/>
  <cols>
    <col min="1" max="1" width="5.42578125" customWidth="1"/>
    <col min="2" max="8" width="19.42578125" customWidth="1"/>
    <col min="9" max="9" width="1.42578125" customWidth="1"/>
    <col min="10" max="10" width="30" customWidth="1"/>
  </cols>
  <sheetData>
    <row r="1" spans="1:10" ht="36" customHeight="1" x14ac:dyDescent="0.25">
      <c r="A1" s="34" t="str">
        <f>"August "&amp;Jahr</f>
        <v>August 2027</v>
      </c>
    </row>
    <row r="2" spans="1:10" ht="18" customHeight="1" x14ac:dyDescent="0.25">
      <c r="A2" s="20" t="str">
        <f>"Feiertage: "&amp;Bundesland&amp;" · Arbeitstage Montag bis Freitag: "&amp;NETWORKDAYS(DATE(Jahr,8,1),DATE(Jahr,9,0),Feiertage_aktiv)</f>
        <v>Feiertage: Nordrhein-Westfalen · Arbeitstage Montag bis Freitag: 22</v>
      </c>
    </row>
    <row r="3" spans="1:10" ht="21" customHeight="1" x14ac:dyDescent="0.25">
      <c r="A3" s="35" t="s">
        <v>7</v>
      </c>
      <c r="B3" s="35" t="s">
        <v>56</v>
      </c>
      <c r="C3" s="35" t="s">
        <v>57</v>
      </c>
      <c r="D3" s="35" t="s">
        <v>58</v>
      </c>
      <c r="E3" s="35" t="s">
        <v>59</v>
      </c>
      <c r="F3" s="35" t="s">
        <v>60</v>
      </c>
      <c r="G3" s="36" t="s">
        <v>61</v>
      </c>
      <c r="H3" s="36" t="s">
        <v>62</v>
      </c>
      <c r="J3" s="35" t="s">
        <v>63</v>
      </c>
    </row>
    <row r="4" spans="1:10" ht="24.95" customHeight="1" x14ac:dyDescent="0.25">
      <c r="A4" s="81">
        <f>IF(OR(MONTH((DATE(Jahr,8,1)-WEEKDAY(DATE(Jahr,8,1),2)+1)+0)=8,MONTH((DATE(Jahr,8,1)-WEEKDAY(DATE(Jahr,8,1),2)+1)+0+6)=8),_xlfn.ISOWEEKNUM((DATE(Jahr,8,1)-WEEKDAY(DATE(Jahr,8,1),2)+1)+0),"")</f>
        <v>30</v>
      </c>
      <c r="B4" s="37" t="str">
        <f>IF(MONTH((DATE(Jahr,8,1)-WEEKDAY(DATE(Jahr,8,1),2)+1)+0)=8,(DATE(Jahr,8,1)-WEEKDAY(DATE(Jahr,8,1),2)+1)+0,"")</f>
        <v/>
      </c>
      <c r="C4" s="37" t="str">
        <f>IF(MONTH((DATE(Jahr,8,1)-WEEKDAY(DATE(Jahr,8,1),2)+1)+1)=8,(DATE(Jahr,8,1)-WEEKDAY(DATE(Jahr,8,1),2)+1)+1,"")</f>
        <v/>
      </c>
      <c r="D4" s="37" t="str">
        <f>IF(MONTH((DATE(Jahr,8,1)-WEEKDAY(DATE(Jahr,8,1),2)+1)+2)=8,(DATE(Jahr,8,1)-WEEKDAY(DATE(Jahr,8,1),2)+1)+2,"")</f>
        <v/>
      </c>
      <c r="E4" s="37" t="str">
        <f>IF(MONTH((DATE(Jahr,8,1)-WEEKDAY(DATE(Jahr,8,1),2)+1)+3)=8,(DATE(Jahr,8,1)-WEEKDAY(DATE(Jahr,8,1),2)+1)+3,"")</f>
        <v/>
      </c>
      <c r="F4" s="37" t="str">
        <f>IF(MONTH((DATE(Jahr,8,1)-WEEKDAY(DATE(Jahr,8,1),2)+1)+4)=8,(DATE(Jahr,8,1)-WEEKDAY(DATE(Jahr,8,1),2)+1)+4,"")</f>
        <v/>
      </c>
      <c r="G4" s="38" t="str">
        <f>IF(MONTH((DATE(Jahr,8,1)-WEEKDAY(DATE(Jahr,8,1),2)+1)+5)=8,(DATE(Jahr,8,1)-WEEKDAY(DATE(Jahr,8,1),2)+1)+5,"")</f>
        <v/>
      </c>
      <c r="H4" s="38">
        <f>IF(MONTH((DATE(Jahr,8,1)-WEEKDAY(DATE(Jahr,8,1),2)+1)+6)=8,(DATE(Jahr,8,1)-WEEKDAY(DATE(Jahr,8,1),2)+1)+6,"")</f>
        <v>46600</v>
      </c>
      <c r="J4" s="39"/>
    </row>
    <row r="5" spans="1:10" ht="27.95" customHeight="1" x14ac:dyDescent="0.25">
      <c r="A5" s="82"/>
      <c r="B5" s="40" t="str">
        <f t="shared" ref="B5:H5" si="0">IF(ISNUMBER(B4),IF(IFERROR(INDEX(FT_Name,MATCH(B4,Feiertage_aktiv,0)),"")="",IFERROR(INDEX(BT_Name,MATCH(B4,BT_Datum,0)),""),IF(IFERROR(INDEX(BT_Name,MATCH(B4,BT_Datum,0)),"")="",IFERROR(INDEX(FT_Name,MATCH(B4,Feiertage_aktiv,0)),""),IF(LEFT(IFERROR(INDEX(BT_Name,MATCH(B4,BT_Datum,0)),""),LEN(IFERROR(INDEX(FT_Name,MATCH(B4,Feiertage_aktiv,0)),"")))=IFERROR(INDEX(FT_Name,MATCH(B4,Feiertage_aktiv,0)),""),IFERROR(INDEX(BT_Name,MATCH(B4,BT_Datum,0)),""),IFERROR(INDEX(FT_Name,MATCH(B4,Feiertage_aktiv,0)),"")&amp;" · "&amp;IFERROR(INDEX(BT_Name,MATCH(B4,BT_Datum,0)),"")))),"")</f>
        <v/>
      </c>
      <c r="C5" s="40" t="str">
        <f t="shared" si="0"/>
        <v/>
      </c>
      <c r="D5" s="40" t="str">
        <f t="shared" si="0"/>
        <v/>
      </c>
      <c r="E5" s="40" t="str">
        <f t="shared" si="0"/>
        <v/>
      </c>
      <c r="F5" s="40" t="str">
        <f t="shared" si="0"/>
        <v/>
      </c>
      <c r="G5" s="41" t="str">
        <f t="shared" si="0"/>
        <v/>
      </c>
      <c r="H5" s="41" t="str">
        <f t="shared" si="0"/>
        <v/>
      </c>
      <c r="J5" s="39"/>
    </row>
    <row r="6" spans="1:10" ht="21.95" customHeight="1" x14ac:dyDescent="0.25">
      <c r="A6" s="82"/>
      <c r="B6" s="42"/>
      <c r="C6" s="42"/>
      <c r="D6" s="42"/>
      <c r="E6" s="42"/>
      <c r="F6" s="42"/>
      <c r="G6" s="43"/>
      <c r="H6" s="43"/>
      <c r="J6" s="39"/>
    </row>
    <row r="7" spans="1:10" ht="23.1" customHeight="1" x14ac:dyDescent="0.25">
      <c r="A7" s="83"/>
      <c r="B7" s="44"/>
      <c r="C7" s="44"/>
      <c r="D7" s="44"/>
      <c r="E7" s="44"/>
      <c r="F7" s="44"/>
      <c r="G7" s="45"/>
      <c r="H7" s="45"/>
      <c r="J7" s="46"/>
    </row>
    <row r="8" spans="1:10" ht="24.95" customHeight="1" x14ac:dyDescent="0.25">
      <c r="A8" s="81">
        <f>IF(OR(MONTH((DATE(Jahr,8,1)-WEEKDAY(DATE(Jahr,8,1),2)+1)+7)=8,MONTH((DATE(Jahr,8,1)-WEEKDAY(DATE(Jahr,8,1),2)+1)+7+6)=8),_xlfn.ISOWEEKNUM((DATE(Jahr,8,1)-WEEKDAY(DATE(Jahr,8,1),2)+1)+7),"")</f>
        <v>31</v>
      </c>
      <c r="B8" s="37">
        <f>IF(MONTH((DATE(Jahr,8,1)-WEEKDAY(DATE(Jahr,8,1),2)+1)+7)=8,(DATE(Jahr,8,1)-WEEKDAY(DATE(Jahr,8,1),2)+1)+7,"")</f>
        <v>46601</v>
      </c>
      <c r="C8" s="37">
        <f>IF(MONTH((DATE(Jahr,8,1)-WEEKDAY(DATE(Jahr,8,1),2)+1)+8)=8,(DATE(Jahr,8,1)-WEEKDAY(DATE(Jahr,8,1),2)+1)+8,"")</f>
        <v>46602</v>
      </c>
      <c r="D8" s="37">
        <f>IF(MONTH((DATE(Jahr,8,1)-WEEKDAY(DATE(Jahr,8,1),2)+1)+9)=8,(DATE(Jahr,8,1)-WEEKDAY(DATE(Jahr,8,1),2)+1)+9,"")</f>
        <v>46603</v>
      </c>
      <c r="E8" s="37">
        <f>IF(MONTH((DATE(Jahr,8,1)-WEEKDAY(DATE(Jahr,8,1),2)+1)+10)=8,(DATE(Jahr,8,1)-WEEKDAY(DATE(Jahr,8,1),2)+1)+10,"")</f>
        <v>46604</v>
      </c>
      <c r="F8" s="37">
        <f>IF(MONTH((DATE(Jahr,8,1)-WEEKDAY(DATE(Jahr,8,1),2)+1)+11)=8,(DATE(Jahr,8,1)-WEEKDAY(DATE(Jahr,8,1),2)+1)+11,"")</f>
        <v>46605</v>
      </c>
      <c r="G8" s="38">
        <f>IF(MONTH((DATE(Jahr,8,1)-WEEKDAY(DATE(Jahr,8,1),2)+1)+12)=8,(DATE(Jahr,8,1)-WEEKDAY(DATE(Jahr,8,1),2)+1)+12,"")</f>
        <v>46606</v>
      </c>
      <c r="H8" s="38">
        <f>IF(MONTH((DATE(Jahr,8,1)-WEEKDAY(DATE(Jahr,8,1),2)+1)+13)=8,(DATE(Jahr,8,1)-WEEKDAY(DATE(Jahr,8,1),2)+1)+13,"")</f>
        <v>46607</v>
      </c>
      <c r="J8" s="39"/>
    </row>
    <row r="9" spans="1:10" ht="27.95" customHeight="1" x14ac:dyDescent="0.25">
      <c r="A9" s="82"/>
      <c r="B9" s="40" t="str">
        <f t="shared" ref="B9:H9" si="1">IF(ISNUMBER(B8),IF(IFERROR(INDEX(FT_Name,MATCH(B8,Feiertage_aktiv,0)),"")="",IFERROR(INDEX(BT_Name,MATCH(B8,BT_Datum,0)),""),IF(IFERROR(INDEX(BT_Name,MATCH(B8,BT_Datum,0)),"")="",IFERROR(INDEX(FT_Name,MATCH(B8,Feiertage_aktiv,0)),""),IF(LEFT(IFERROR(INDEX(BT_Name,MATCH(B8,BT_Datum,0)),""),LEN(IFERROR(INDEX(FT_Name,MATCH(B8,Feiertage_aktiv,0)),"")))=IFERROR(INDEX(FT_Name,MATCH(B8,Feiertage_aktiv,0)),""),IFERROR(INDEX(BT_Name,MATCH(B8,BT_Datum,0)),""),IFERROR(INDEX(FT_Name,MATCH(B8,Feiertage_aktiv,0)),"")&amp;" · "&amp;IFERROR(INDEX(BT_Name,MATCH(B8,BT_Datum,0)),"")))),"")</f>
        <v/>
      </c>
      <c r="C9" s="40" t="str">
        <f t="shared" si="1"/>
        <v/>
      </c>
      <c r="D9" s="40" t="str">
        <f t="shared" si="1"/>
        <v/>
      </c>
      <c r="E9" s="40" t="str">
        <f t="shared" si="1"/>
        <v/>
      </c>
      <c r="F9" s="40" t="str">
        <f t="shared" si="1"/>
        <v/>
      </c>
      <c r="G9" s="41" t="str">
        <f t="shared" si="1"/>
        <v/>
      </c>
      <c r="H9" s="41" t="str">
        <f t="shared" si="1"/>
        <v/>
      </c>
      <c r="J9" s="39"/>
    </row>
    <row r="10" spans="1:10" ht="21.95" customHeight="1" x14ac:dyDescent="0.25">
      <c r="A10" s="82"/>
      <c r="B10" s="42"/>
      <c r="C10" s="42"/>
      <c r="D10" s="42"/>
      <c r="E10" s="42"/>
      <c r="F10" s="42"/>
      <c r="G10" s="43"/>
      <c r="H10" s="43"/>
      <c r="J10" s="39"/>
    </row>
    <row r="11" spans="1:10" ht="23.1" customHeight="1" x14ac:dyDescent="0.25">
      <c r="A11" s="83"/>
      <c r="B11" s="44"/>
      <c r="C11" s="44"/>
      <c r="D11" s="44"/>
      <c r="E11" s="44"/>
      <c r="F11" s="44"/>
      <c r="G11" s="45"/>
      <c r="H11" s="45"/>
      <c r="J11" s="46"/>
    </row>
    <row r="12" spans="1:10" ht="24.95" customHeight="1" x14ac:dyDescent="0.25">
      <c r="A12" s="81">
        <f>IF(OR(MONTH((DATE(Jahr,8,1)-WEEKDAY(DATE(Jahr,8,1),2)+1)+14)=8,MONTH((DATE(Jahr,8,1)-WEEKDAY(DATE(Jahr,8,1),2)+1)+14+6)=8),_xlfn.ISOWEEKNUM((DATE(Jahr,8,1)-WEEKDAY(DATE(Jahr,8,1),2)+1)+14),"")</f>
        <v>32</v>
      </c>
      <c r="B12" s="37">
        <f>IF(MONTH((DATE(Jahr,8,1)-WEEKDAY(DATE(Jahr,8,1),2)+1)+14)=8,(DATE(Jahr,8,1)-WEEKDAY(DATE(Jahr,8,1),2)+1)+14,"")</f>
        <v>46608</v>
      </c>
      <c r="C12" s="37">
        <f>IF(MONTH((DATE(Jahr,8,1)-WEEKDAY(DATE(Jahr,8,1),2)+1)+15)=8,(DATE(Jahr,8,1)-WEEKDAY(DATE(Jahr,8,1),2)+1)+15,"")</f>
        <v>46609</v>
      </c>
      <c r="D12" s="37">
        <f>IF(MONTH((DATE(Jahr,8,1)-WEEKDAY(DATE(Jahr,8,1),2)+1)+16)=8,(DATE(Jahr,8,1)-WEEKDAY(DATE(Jahr,8,1),2)+1)+16,"")</f>
        <v>46610</v>
      </c>
      <c r="E12" s="37">
        <f>IF(MONTH((DATE(Jahr,8,1)-WEEKDAY(DATE(Jahr,8,1),2)+1)+17)=8,(DATE(Jahr,8,1)-WEEKDAY(DATE(Jahr,8,1),2)+1)+17,"")</f>
        <v>46611</v>
      </c>
      <c r="F12" s="37">
        <f>IF(MONTH((DATE(Jahr,8,1)-WEEKDAY(DATE(Jahr,8,1),2)+1)+18)=8,(DATE(Jahr,8,1)-WEEKDAY(DATE(Jahr,8,1),2)+1)+18,"")</f>
        <v>46612</v>
      </c>
      <c r="G12" s="38">
        <f>IF(MONTH((DATE(Jahr,8,1)-WEEKDAY(DATE(Jahr,8,1),2)+1)+19)=8,(DATE(Jahr,8,1)-WEEKDAY(DATE(Jahr,8,1),2)+1)+19,"")</f>
        <v>46613</v>
      </c>
      <c r="H12" s="38">
        <f>IF(MONTH((DATE(Jahr,8,1)-WEEKDAY(DATE(Jahr,8,1),2)+1)+20)=8,(DATE(Jahr,8,1)-WEEKDAY(DATE(Jahr,8,1),2)+1)+20,"")</f>
        <v>46614</v>
      </c>
      <c r="J12" s="39"/>
    </row>
    <row r="13" spans="1:10" ht="27.95" customHeight="1" x14ac:dyDescent="0.25">
      <c r="A13" s="82"/>
      <c r="B13" s="40" t="str">
        <f t="shared" ref="B13:H13" si="2">IF(ISNUMBER(B12),IF(IFERROR(INDEX(FT_Name,MATCH(B12,Feiertage_aktiv,0)),"")="",IFERROR(INDEX(BT_Name,MATCH(B12,BT_Datum,0)),""),IF(IFERROR(INDEX(BT_Name,MATCH(B12,BT_Datum,0)),"")="",IFERROR(INDEX(FT_Name,MATCH(B12,Feiertage_aktiv,0)),""),IF(LEFT(IFERROR(INDEX(BT_Name,MATCH(B12,BT_Datum,0)),""),LEN(IFERROR(INDEX(FT_Name,MATCH(B12,Feiertage_aktiv,0)),"")))=IFERROR(INDEX(FT_Name,MATCH(B12,Feiertage_aktiv,0)),""),IFERROR(INDEX(BT_Name,MATCH(B12,BT_Datum,0)),""),IFERROR(INDEX(FT_Name,MATCH(B12,Feiertage_aktiv,0)),"")&amp;" · "&amp;IFERROR(INDEX(BT_Name,MATCH(B12,BT_Datum,0)),"")))),"")</f>
        <v/>
      </c>
      <c r="C13" s="40" t="str">
        <f t="shared" si="2"/>
        <v/>
      </c>
      <c r="D13" s="40" t="str">
        <f t="shared" si="2"/>
        <v/>
      </c>
      <c r="E13" s="40" t="str">
        <f t="shared" si="2"/>
        <v/>
      </c>
      <c r="F13" s="40" t="str">
        <f t="shared" si="2"/>
        <v/>
      </c>
      <c r="G13" s="41" t="str">
        <f t="shared" si="2"/>
        <v/>
      </c>
      <c r="H13" s="41" t="str">
        <f t="shared" si="2"/>
        <v/>
      </c>
      <c r="J13" s="39"/>
    </row>
    <row r="14" spans="1:10" ht="21.95" customHeight="1" x14ac:dyDescent="0.25">
      <c r="A14" s="82"/>
      <c r="B14" s="42"/>
      <c r="C14" s="42"/>
      <c r="D14" s="42"/>
      <c r="E14" s="42"/>
      <c r="F14" s="42"/>
      <c r="G14" s="43"/>
      <c r="H14" s="43"/>
      <c r="J14" s="39"/>
    </row>
    <row r="15" spans="1:10" ht="23.1" customHeight="1" x14ac:dyDescent="0.25">
      <c r="A15" s="83"/>
      <c r="B15" s="44"/>
      <c r="C15" s="44"/>
      <c r="D15" s="44"/>
      <c r="E15" s="44"/>
      <c r="F15" s="44"/>
      <c r="G15" s="45"/>
      <c r="H15" s="45"/>
      <c r="J15" s="46"/>
    </row>
    <row r="16" spans="1:10" ht="24.95" customHeight="1" x14ac:dyDescent="0.25">
      <c r="A16" s="81">
        <f>IF(OR(MONTH((DATE(Jahr,8,1)-WEEKDAY(DATE(Jahr,8,1),2)+1)+21)=8,MONTH((DATE(Jahr,8,1)-WEEKDAY(DATE(Jahr,8,1),2)+1)+21+6)=8),_xlfn.ISOWEEKNUM((DATE(Jahr,8,1)-WEEKDAY(DATE(Jahr,8,1),2)+1)+21),"")</f>
        <v>33</v>
      </c>
      <c r="B16" s="37">
        <f>IF(MONTH((DATE(Jahr,8,1)-WEEKDAY(DATE(Jahr,8,1),2)+1)+21)=8,(DATE(Jahr,8,1)-WEEKDAY(DATE(Jahr,8,1),2)+1)+21,"")</f>
        <v>46615</v>
      </c>
      <c r="C16" s="37">
        <f>IF(MONTH((DATE(Jahr,8,1)-WEEKDAY(DATE(Jahr,8,1),2)+1)+22)=8,(DATE(Jahr,8,1)-WEEKDAY(DATE(Jahr,8,1),2)+1)+22,"")</f>
        <v>46616</v>
      </c>
      <c r="D16" s="37">
        <f>IF(MONTH((DATE(Jahr,8,1)-WEEKDAY(DATE(Jahr,8,1),2)+1)+23)=8,(DATE(Jahr,8,1)-WEEKDAY(DATE(Jahr,8,1),2)+1)+23,"")</f>
        <v>46617</v>
      </c>
      <c r="E16" s="37">
        <f>IF(MONTH((DATE(Jahr,8,1)-WEEKDAY(DATE(Jahr,8,1),2)+1)+24)=8,(DATE(Jahr,8,1)-WEEKDAY(DATE(Jahr,8,1),2)+1)+24,"")</f>
        <v>46618</v>
      </c>
      <c r="F16" s="37">
        <f>IF(MONTH((DATE(Jahr,8,1)-WEEKDAY(DATE(Jahr,8,1),2)+1)+25)=8,(DATE(Jahr,8,1)-WEEKDAY(DATE(Jahr,8,1),2)+1)+25,"")</f>
        <v>46619</v>
      </c>
      <c r="G16" s="38">
        <f>IF(MONTH((DATE(Jahr,8,1)-WEEKDAY(DATE(Jahr,8,1),2)+1)+26)=8,(DATE(Jahr,8,1)-WEEKDAY(DATE(Jahr,8,1),2)+1)+26,"")</f>
        <v>46620</v>
      </c>
      <c r="H16" s="38">
        <f>IF(MONTH((DATE(Jahr,8,1)-WEEKDAY(DATE(Jahr,8,1),2)+1)+27)=8,(DATE(Jahr,8,1)-WEEKDAY(DATE(Jahr,8,1),2)+1)+27,"")</f>
        <v>46621</v>
      </c>
      <c r="J16" s="39"/>
    </row>
    <row r="17" spans="1:10" ht="27.95" customHeight="1" x14ac:dyDescent="0.25">
      <c r="A17" s="82"/>
      <c r="B17" s="40" t="str">
        <f t="shared" ref="B17:H17" si="3">IF(ISNUMBER(B16),IF(IFERROR(INDEX(FT_Name,MATCH(B16,Feiertage_aktiv,0)),"")="",IFERROR(INDEX(BT_Name,MATCH(B16,BT_Datum,0)),""),IF(IFERROR(INDEX(BT_Name,MATCH(B16,BT_Datum,0)),"")="",IFERROR(INDEX(FT_Name,MATCH(B16,Feiertage_aktiv,0)),""),IF(LEFT(IFERROR(INDEX(BT_Name,MATCH(B16,BT_Datum,0)),""),LEN(IFERROR(INDEX(FT_Name,MATCH(B16,Feiertage_aktiv,0)),"")))=IFERROR(INDEX(FT_Name,MATCH(B16,Feiertage_aktiv,0)),""),IFERROR(INDEX(BT_Name,MATCH(B16,BT_Datum,0)),""),IFERROR(INDEX(FT_Name,MATCH(B16,Feiertage_aktiv,0)),"")&amp;" · "&amp;IFERROR(INDEX(BT_Name,MATCH(B16,BT_Datum,0)),"")))),"")</f>
        <v/>
      </c>
      <c r="C17" s="40" t="str">
        <f t="shared" si="3"/>
        <v/>
      </c>
      <c r="D17" s="40" t="str">
        <f t="shared" si="3"/>
        <v/>
      </c>
      <c r="E17" s="40" t="str">
        <f t="shared" si="3"/>
        <v/>
      </c>
      <c r="F17" s="40" t="str">
        <f t="shared" si="3"/>
        <v/>
      </c>
      <c r="G17" s="41" t="str">
        <f t="shared" si="3"/>
        <v/>
      </c>
      <c r="H17" s="41" t="str">
        <f t="shared" si="3"/>
        <v/>
      </c>
      <c r="J17" s="39"/>
    </row>
    <row r="18" spans="1:10" ht="21.95" customHeight="1" x14ac:dyDescent="0.25">
      <c r="A18" s="82"/>
      <c r="B18" s="42"/>
      <c r="C18" s="42"/>
      <c r="D18" s="42"/>
      <c r="E18" s="42"/>
      <c r="F18" s="42"/>
      <c r="G18" s="43"/>
      <c r="H18" s="43"/>
      <c r="J18" s="39"/>
    </row>
    <row r="19" spans="1:10" ht="23.1" customHeight="1" x14ac:dyDescent="0.25">
      <c r="A19" s="83"/>
      <c r="B19" s="44"/>
      <c r="C19" s="44"/>
      <c r="D19" s="44"/>
      <c r="E19" s="44"/>
      <c r="F19" s="44"/>
      <c r="G19" s="45"/>
      <c r="H19" s="45"/>
      <c r="J19" s="46"/>
    </row>
    <row r="20" spans="1:10" ht="24.95" customHeight="1" x14ac:dyDescent="0.25">
      <c r="A20" s="81">
        <f>IF(OR(MONTH((DATE(Jahr,8,1)-WEEKDAY(DATE(Jahr,8,1),2)+1)+28)=8,MONTH((DATE(Jahr,8,1)-WEEKDAY(DATE(Jahr,8,1),2)+1)+28+6)=8),_xlfn.ISOWEEKNUM((DATE(Jahr,8,1)-WEEKDAY(DATE(Jahr,8,1),2)+1)+28),"")</f>
        <v>34</v>
      </c>
      <c r="B20" s="37">
        <f>IF(MONTH((DATE(Jahr,8,1)-WEEKDAY(DATE(Jahr,8,1),2)+1)+28)=8,(DATE(Jahr,8,1)-WEEKDAY(DATE(Jahr,8,1),2)+1)+28,"")</f>
        <v>46622</v>
      </c>
      <c r="C20" s="37">
        <f>IF(MONTH((DATE(Jahr,8,1)-WEEKDAY(DATE(Jahr,8,1),2)+1)+29)=8,(DATE(Jahr,8,1)-WEEKDAY(DATE(Jahr,8,1),2)+1)+29,"")</f>
        <v>46623</v>
      </c>
      <c r="D20" s="37">
        <f>IF(MONTH((DATE(Jahr,8,1)-WEEKDAY(DATE(Jahr,8,1),2)+1)+30)=8,(DATE(Jahr,8,1)-WEEKDAY(DATE(Jahr,8,1),2)+1)+30,"")</f>
        <v>46624</v>
      </c>
      <c r="E20" s="37">
        <f>IF(MONTH((DATE(Jahr,8,1)-WEEKDAY(DATE(Jahr,8,1),2)+1)+31)=8,(DATE(Jahr,8,1)-WEEKDAY(DATE(Jahr,8,1),2)+1)+31,"")</f>
        <v>46625</v>
      </c>
      <c r="F20" s="37">
        <f>IF(MONTH((DATE(Jahr,8,1)-WEEKDAY(DATE(Jahr,8,1),2)+1)+32)=8,(DATE(Jahr,8,1)-WEEKDAY(DATE(Jahr,8,1),2)+1)+32,"")</f>
        <v>46626</v>
      </c>
      <c r="G20" s="38">
        <f>IF(MONTH((DATE(Jahr,8,1)-WEEKDAY(DATE(Jahr,8,1),2)+1)+33)=8,(DATE(Jahr,8,1)-WEEKDAY(DATE(Jahr,8,1),2)+1)+33,"")</f>
        <v>46627</v>
      </c>
      <c r="H20" s="38">
        <f>IF(MONTH((DATE(Jahr,8,1)-WEEKDAY(DATE(Jahr,8,1),2)+1)+34)=8,(DATE(Jahr,8,1)-WEEKDAY(DATE(Jahr,8,1),2)+1)+34,"")</f>
        <v>46628</v>
      </c>
      <c r="J20" s="39"/>
    </row>
    <row r="21" spans="1:10" ht="27.95" customHeight="1" x14ac:dyDescent="0.25">
      <c r="A21" s="82"/>
      <c r="B21" s="40" t="str">
        <f t="shared" ref="B21:H21" si="4">IF(ISNUMBER(B20),IF(IFERROR(INDEX(FT_Name,MATCH(B20,Feiertage_aktiv,0)),"")="",IFERROR(INDEX(BT_Name,MATCH(B20,BT_Datum,0)),""),IF(IFERROR(INDEX(BT_Name,MATCH(B20,BT_Datum,0)),"")="",IFERROR(INDEX(FT_Name,MATCH(B20,Feiertage_aktiv,0)),""),IF(LEFT(IFERROR(INDEX(BT_Name,MATCH(B20,BT_Datum,0)),""),LEN(IFERROR(INDEX(FT_Name,MATCH(B20,Feiertage_aktiv,0)),"")))=IFERROR(INDEX(FT_Name,MATCH(B20,Feiertage_aktiv,0)),""),IFERROR(INDEX(BT_Name,MATCH(B20,BT_Datum,0)),""),IFERROR(INDEX(FT_Name,MATCH(B20,Feiertage_aktiv,0)),"")&amp;" · "&amp;IFERROR(INDEX(BT_Name,MATCH(B20,BT_Datum,0)),"")))),"")</f>
        <v/>
      </c>
      <c r="C21" s="40" t="str">
        <f t="shared" si="4"/>
        <v/>
      </c>
      <c r="D21" s="40" t="str">
        <f t="shared" si="4"/>
        <v/>
      </c>
      <c r="E21" s="40" t="str">
        <f t="shared" si="4"/>
        <v/>
      </c>
      <c r="F21" s="40" t="str">
        <f t="shared" si="4"/>
        <v/>
      </c>
      <c r="G21" s="41" t="str">
        <f t="shared" si="4"/>
        <v/>
      </c>
      <c r="H21" s="41" t="str">
        <f t="shared" si="4"/>
        <v/>
      </c>
      <c r="J21" s="39"/>
    </row>
    <row r="22" spans="1:10" ht="21.95" customHeight="1" x14ac:dyDescent="0.25">
      <c r="A22" s="82"/>
      <c r="B22" s="42"/>
      <c r="C22" s="42"/>
      <c r="D22" s="42"/>
      <c r="E22" s="42"/>
      <c r="F22" s="42"/>
      <c r="G22" s="43"/>
      <c r="H22" s="43"/>
      <c r="J22" s="39"/>
    </row>
    <row r="23" spans="1:10" ht="23.1" customHeight="1" x14ac:dyDescent="0.25">
      <c r="A23" s="83"/>
      <c r="B23" s="44"/>
      <c r="C23" s="44"/>
      <c r="D23" s="44"/>
      <c r="E23" s="44"/>
      <c r="F23" s="44"/>
      <c r="G23" s="45"/>
      <c r="H23" s="45"/>
      <c r="J23" s="46"/>
    </row>
    <row r="24" spans="1:10" ht="24.95" customHeight="1" x14ac:dyDescent="0.25">
      <c r="A24" s="81">
        <f>IF(OR(MONTH((DATE(Jahr,8,1)-WEEKDAY(DATE(Jahr,8,1),2)+1)+35)=8,MONTH((DATE(Jahr,8,1)-WEEKDAY(DATE(Jahr,8,1),2)+1)+35+6)=8),_xlfn.ISOWEEKNUM((DATE(Jahr,8,1)-WEEKDAY(DATE(Jahr,8,1),2)+1)+35),"")</f>
        <v>35</v>
      </c>
      <c r="B24" s="37">
        <f>IF(MONTH((DATE(Jahr,8,1)-WEEKDAY(DATE(Jahr,8,1),2)+1)+35)=8,(DATE(Jahr,8,1)-WEEKDAY(DATE(Jahr,8,1),2)+1)+35,"")</f>
        <v>46629</v>
      </c>
      <c r="C24" s="37">
        <f>IF(MONTH((DATE(Jahr,8,1)-WEEKDAY(DATE(Jahr,8,1),2)+1)+36)=8,(DATE(Jahr,8,1)-WEEKDAY(DATE(Jahr,8,1),2)+1)+36,"")</f>
        <v>46630</v>
      </c>
      <c r="D24" s="37" t="str">
        <f>IF(MONTH((DATE(Jahr,8,1)-WEEKDAY(DATE(Jahr,8,1),2)+1)+37)=8,(DATE(Jahr,8,1)-WEEKDAY(DATE(Jahr,8,1),2)+1)+37,"")</f>
        <v/>
      </c>
      <c r="E24" s="37" t="str">
        <f>IF(MONTH((DATE(Jahr,8,1)-WEEKDAY(DATE(Jahr,8,1),2)+1)+38)=8,(DATE(Jahr,8,1)-WEEKDAY(DATE(Jahr,8,1),2)+1)+38,"")</f>
        <v/>
      </c>
      <c r="F24" s="37" t="str">
        <f>IF(MONTH((DATE(Jahr,8,1)-WEEKDAY(DATE(Jahr,8,1),2)+1)+39)=8,(DATE(Jahr,8,1)-WEEKDAY(DATE(Jahr,8,1),2)+1)+39,"")</f>
        <v/>
      </c>
      <c r="G24" s="38" t="str">
        <f>IF(MONTH((DATE(Jahr,8,1)-WEEKDAY(DATE(Jahr,8,1),2)+1)+40)=8,(DATE(Jahr,8,1)-WEEKDAY(DATE(Jahr,8,1),2)+1)+40,"")</f>
        <v/>
      </c>
      <c r="H24" s="38" t="str">
        <f>IF(MONTH((DATE(Jahr,8,1)-WEEKDAY(DATE(Jahr,8,1),2)+1)+41)=8,(DATE(Jahr,8,1)-WEEKDAY(DATE(Jahr,8,1),2)+1)+41,"")</f>
        <v/>
      </c>
      <c r="J24" s="39"/>
    </row>
    <row r="25" spans="1:10" ht="27.95" customHeight="1" x14ac:dyDescent="0.25">
      <c r="A25" s="82"/>
      <c r="B25" s="40" t="str">
        <f t="shared" ref="B25:H25" si="5">IF(ISNUMBER(B24),IF(IFERROR(INDEX(FT_Name,MATCH(B24,Feiertage_aktiv,0)),"")="",IFERROR(INDEX(BT_Name,MATCH(B24,BT_Datum,0)),""),IF(IFERROR(INDEX(BT_Name,MATCH(B24,BT_Datum,0)),"")="",IFERROR(INDEX(FT_Name,MATCH(B24,Feiertage_aktiv,0)),""),IF(LEFT(IFERROR(INDEX(BT_Name,MATCH(B24,BT_Datum,0)),""),LEN(IFERROR(INDEX(FT_Name,MATCH(B24,Feiertage_aktiv,0)),"")))=IFERROR(INDEX(FT_Name,MATCH(B24,Feiertage_aktiv,0)),""),IFERROR(INDEX(BT_Name,MATCH(B24,BT_Datum,0)),""),IFERROR(INDEX(FT_Name,MATCH(B24,Feiertage_aktiv,0)),"")&amp;" · "&amp;IFERROR(INDEX(BT_Name,MATCH(B24,BT_Datum,0)),"")))),"")</f>
        <v/>
      </c>
      <c r="C25" s="40" t="str">
        <f t="shared" si="5"/>
        <v/>
      </c>
      <c r="D25" s="40" t="str">
        <f t="shared" si="5"/>
        <v/>
      </c>
      <c r="E25" s="40" t="str">
        <f t="shared" si="5"/>
        <v/>
      </c>
      <c r="F25" s="40" t="str">
        <f t="shared" si="5"/>
        <v/>
      </c>
      <c r="G25" s="41" t="str">
        <f t="shared" si="5"/>
        <v/>
      </c>
      <c r="H25" s="41" t="str">
        <f t="shared" si="5"/>
        <v/>
      </c>
      <c r="J25" s="39"/>
    </row>
    <row r="26" spans="1:10" ht="21.95" customHeight="1" x14ac:dyDescent="0.25">
      <c r="A26" s="82"/>
      <c r="B26" s="42"/>
      <c r="C26" s="42"/>
      <c r="D26" s="42"/>
      <c r="E26" s="42"/>
      <c r="F26" s="42"/>
      <c r="G26" s="43"/>
      <c r="H26" s="43"/>
      <c r="J26" s="39"/>
    </row>
    <row r="27" spans="1:10" ht="23.1" customHeight="1" x14ac:dyDescent="0.25">
      <c r="A27" s="83"/>
      <c r="B27" s="44"/>
      <c r="C27" s="44"/>
      <c r="D27" s="44"/>
      <c r="E27" s="44"/>
      <c r="F27" s="44"/>
      <c r="G27" s="45"/>
      <c r="H27" s="45"/>
      <c r="J27" s="46"/>
    </row>
    <row r="28" spans="1:10" ht="15.95" customHeight="1" x14ac:dyDescent="0.25">
      <c r="A28" s="47" t="str">
        <f>"Rot: gesetzlicher Feiertag in "&amp;Bundesland&amp;". Grau: besondere Tage ohne Feiertag. Jahr und Bundesland ändern Sie im Blatt Jahreskalender."</f>
        <v>Rot: gesetzlicher Feiertag in Nordrhein-Westfalen. Grau: besondere Tage ohne Feiertag. Jahr und Bundesland ändern Sie im Blatt Jahreskalender.</v>
      </c>
    </row>
  </sheetData>
  <mergeCells count="6">
    <mergeCell ref="A4:A7"/>
    <mergeCell ref="A8:A11"/>
    <mergeCell ref="A12:A15"/>
    <mergeCell ref="A20:A23"/>
    <mergeCell ref="A24:A27"/>
    <mergeCell ref="A16:A19"/>
  </mergeCells>
  <conditionalFormatting sqref="B4:H7">
    <cfRule type="expression" dxfId="64" priority="1" stopIfTrue="1">
      <formula>B$4=""</formula>
    </cfRule>
    <cfRule type="expression" dxfId="63" priority="2">
      <formula>AND(ISNUMBER(B$4),COUNTIF(Feiertage_aktiv,B$4)&gt;0)</formula>
    </cfRule>
  </conditionalFormatting>
  <conditionalFormatting sqref="B8:H11">
    <cfRule type="expression" dxfId="62" priority="3" stopIfTrue="1">
      <formula>B$8=""</formula>
    </cfRule>
    <cfRule type="expression" dxfId="61" priority="4">
      <formula>AND(ISNUMBER(B$8),COUNTIF(Feiertage_aktiv,B$8)&gt;0)</formula>
    </cfRule>
  </conditionalFormatting>
  <conditionalFormatting sqref="B12:H15">
    <cfRule type="expression" dxfId="60" priority="5" stopIfTrue="1">
      <formula>B$12=""</formula>
    </cfRule>
    <cfRule type="expression" dxfId="59" priority="6">
      <formula>AND(ISNUMBER(B$12),COUNTIF(Feiertage_aktiv,B$12)&gt;0)</formula>
    </cfRule>
  </conditionalFormatting>
  <conditionalFormatting sqref="B16:H19">
    <cfRule type="expression" dxfId="58" priority="7" stopIfTrue="1">
      <formula>B$16=""</formula>
    </cfRule>
    <cfRule type="expression" dxfId="57" priority="8">
      <formula>AND(ISNUMBER(B$16),COUNTIF(Feiertage_aktiv,B$16)&gt;0)</formula>
    </cfRule>
  </conditionalFormatting>
  <conditionalFormatting sqref="B20:H23">
    <cfRule type="expression" dxfId="56" priority="9" stopIfTrue="1">
      <formula>B$20=""</formula>
    </cfRule>
    <cfRule type="expression" dxfId="55" priority="10">
      <formula>AND(ISNUMBER(B$20),COUNTIF(Feiertage_aktiv,B$20)&gt;0)</formula>
    </cfRule>
  </conditionalFormatting>
  <conditionalFormatting sqref="B24:H27">
    <cfRule type="expression" dxfId="54" priority="11" stopIfTrue="1">
      <formula>B$24=""</formula>
    </cfRule>
    <cfRule type="expression" dxfId="53" priority="12">
      <formula>AND(ISNUMBER(B$24),COUNTIF(Feiertage_aktiv,B$24)&gt;0)</formula>
    </cfRule>
  </conditionalFormatting>
  <printOptions horizontalCentered="1"/>
  <pageMargins left="0.4" right="0.4" top="0.45" bottom="0.55000000000000004" header="0.2" footer="0.25"/>
  <pageSetup paperSize="9" orientation="landscape"/>
  <headerFooter>
    <oddFooter>&amp;C&amp;8 &amp;K686E70Vorlage von seminaron.de&amp;R&amp;8 &amp;K686E70&amp;A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28"/>
  <sheetViews>
    <sheetView showGridLines="0" zoomScale="85" workbookViewId="0"/>
  </sheetViews>
  <sheetFormatPr baseColWidth="10" defaultColWidth="9.140625" defaultRowHeight="15" x14ac:dyDescent="0.25"/>
  <cols>
    <col min="1" max="1" width="5.42578125" customWidth="1"/>
    <col min="2" max="8" width="19.42578125" customWidth="1"/>
    <col min="9" max="9" width="1.42578125" customWidth="1"/>
    <col min="10" max="10" width="30" customWidth="1"/>
  </cols>
  <sheetData>
    <row r="1" spans="1:10" ht="36" customHeight="1" x14ac:dyDescent="0.25">
      <c r="A1" s="34" t="str">
        <f>"September "&amp;Jahr</f>
        <v>September 2027</v>
      </c>
    </row>
    <row r="2" spans="1:10" ht="18" customHeight="1" x14ac:dyDescent="0.25">
      <c r="A2" s="20" t="str">
        <f>"Feiertage: "&amp;Bundesland&amp;" · Arbeitstage Montag bis Freitag: "&amp;NETWORKDAYS(DATE(Jahr,9,1),DATE(Jahr,10,0),Feiertage_aktiv)</f>
        <v>Feiertage: Nordrhein-Westfalen · Arbeitstage Montag bis Freitag: 22</v>
      </c>
    </row>
    <row r="3" spans="1:10" ht="21" customHeight="1" x14ac:dyDescent="0.25">
      <c r="A3" s="35" t="s">
        <v>7</v>
      </c>
      <c r="B3" s="35" t="s">
        <v>56</v>
      </c>
      <c r="C3" s="35" t="s">
        <v>57</v>
      </c>
      <c r="D3" s="35" t="s">
        <v>58</v>
      </c>
      <c r="E3" s="35" t="s">
        <v>59</v>
      </c>
      <c r="F3" s="35" t="s">
        <v>60</v>
      </c>
      <c r="G3" s="36" t="s">
        <v>61</v>
      </c>
      <c r="H3" s="36" t="s">
        <v>62</v>
      </c>
      <c r="J3" s="35" t="s">
        <v>63</v>
      </c>
    </row>
    <row r="4" spans="1:10" ht="24.95" customHeight="1" x14ac:dyDescent="0.25">
      <c r="A4" s="81">
        <f>IF(OR(MONTH((DATE(Jahr,9,1)-WEEKDAY(DATE(Jahr,9,1),2)+1)+0)=9,MONTH((DATE(Jahr,9,1)-WEEKDAY(DATE(Jahr,9,1),2)+1)+0+6)=9),_xlfn.ISOWEEKNUM((DATE(Jahr,9,1)-WEEKDAY(DATE(Jahr,9,1),2)+1)+0),"")</f>
        <v>35</v>
      </c>
      <c r="B4" s="37" t="str">
        <f>IF(MONTH((DATE(Jahr,9,1)-WEEKDAY(DATE(Jahr,9,1),2)+1)+0)=9,(DATE(Jahr,9,1)-WEEKDAY(DATE(Jahr,9,1),2)+1)+0,"")</f>
        <v/>
      </c>
      <c r="C4" s="37" t="str">
        <f>IF(MONTH((DATE(Jahr,9,1)-WEEKDAY(DATE(Jahr,9,1),2)+1)+1)=9,(DATE(Jahr,9,1)-WEEKDAY(DATE(Jahr,9,1),2)+1)+1,"")</f>
        <v/>
      </c>
      <c r="D4" s="37">
        <f>IF(MONTH((DATE(Jahr,9,1)-WEEKDAY(DATE(Jahr,9,1),2)+1)+2)=9,(DATE(Jahr,9,1)-WEEKDAY(DATE(Jahr,9,1),2)+1)+2,"")</f>
        <v>46631</v>
      </c>
      <c r="E4" s="37">
        <f>IF(MONTH((DATE(Jahr,9,1)-WEEKDAY(DATE(Jahr,9,1),2)+1)+3)=9,(DATE(Jahr,9,1)-WEEKDAY(DATE(Jahr,9,1),2)+1)+3,"")</f>
        <v>46632</v>
      </c>
      <c r="F4" s="37">
        <f>IF(MONTH((DATE(Jahr,9,1)-WEEKDAY(DATE(Jahr,9,1),2)+1)+4)=9,(DATE(Jahr,9,1)-WEEKDAY(DATE(Jahr,9,1),2)+1)+4,"")</f>
        <v>46633</v>
      </c>
      <c r="G4" s="38">
        <f>IF(MONTH((DATE(Jahr,9,1)-WEEKDAY(DATE(Jahr,9,1),2)+1)+5)=9,(DATE(Jahr,9,1)-WEEKDAY(DATE(Jahr,9,1),2)+1)+5,"")</f>
        <v>46634</v>
      </c>
      <c r="H4" s="38">
        <f>IF(MONTH((DATE(Jahr,9,1)-WEEKDAY(DATE(Jahr,9,1),2)+1)+6)=9,(DATE(Jahr,9,1)-WEEKDAY(DATE(Jahr,9,1),2)+1)+6,"")</f>
        <v>46635</v>
      </c>
      <c r="J4" s="39"/>
    </row>
    <row r="5" spans="1:10" ht="27.95" customHeight="1" x14ac:dyDescent="0.25">
      <c r="A5" s="82"/>
      <c r="B5" s="40" t="str">
        <f t="shared" ref="B5:H5" si="0">IF(ISNUMBER(B4),IF(IFERROR(INDEX(FT_Name,MATCH(B4,Feiertage_aktiv,0)),"")="",IFERROR(INDEX(BT_Name,MATCH(B4,BT_Datum,0)),""),IF(IFERROR(INDEX(BT_Name,MATCH(B4,BT_Datum,0)),"")="",IFERROR(INDEX(FT_Name,MATCH(B4,Feiertage_aktiv,0)),""),IF(LEFT(IFERROR(INDEX(BT_Name,MATCH(B4,BT_Datum,0)),""),LEN(IFERROR(INDEX(FT_Name,MATCH(B4,Feiertage_aktiv,0)),"")))=IFERROR(INDEX(FT_Name,MATCH(B4,Feiertage_aktiv,0)),""),IFERROR(INDEX(BT_Name,MATCH(B4,BT_Datum,0)),""),IFERROR(INDEX(FT_Name,MATCH(B4,Feiertage_aktiv,0)),"")&amp;" · "&amp;IFERROR(INDEX(BT_Name,MATCH(B4,BT_Datum,0)),"")))),"")</f>
        <v/>
      </c>
      <c r="C5" s="40" t="str">
        <f t="shared" si="0"/>
        <v/>
      </c>
      <c r="D5" s="40" t="str">
        <f t="shared" si="0"/>
        <v/>
      </c>
      <c r="E5" s="40" t="str">
        <f t="shared" si="0"/>
        <v/>
      </c>
      <c r="F5" s="40" t="str">
        <f t="shared" si="0"/>
        <v/>
      </c>
      <c r="G5" s="41" t="str">
        <f t="shared" si="0"/>
        <v/>
      </c>
      <c r="H5" s="41" t="str">
        <f t="shared" si="0"/>
        <v/>
      </c>
      <c r="J5" s="39"/>
    </row>
    <row r="6" spans="1:10" ht="21.95" customHeight="1" x14ac:dyDescent="0.25">
      <c r="A6" s="82"/>
      <c r="B6" s="42"/>
      <c r="C6" s="42"/>
      <c r="D6" s="42"/>
      <c r="E6" s="42"/>
      <c r="F6" s="42"/>
      <c r="G6" s="43"/>
      <c r="H6" s="43"/>
      <c r="J6" s="39"/>
    </row>
    <row r="7" spans="1:10" ht="23.1" customHeight="1" x14ac:dyDescent="0.25">
      <c r="A7" s="83"/>
      <c r="B7" s="44"/>
      <c r="C7" s="44"/>
      <c r="D7" s="44"/>
      <c r="E7" s="44"/>
      <c r="F7" s="44"/>
      <c r="G7" s="45"/>
      <c r="H7" s="45"/>
      <c r="J7" s="46"/>
    </row>
    <row r="8" spans="1:10" ht="24.95" customHeight="1" x14ac:dyDescent="0.25">
      <c r="A8" s="81">
        <f>IF(OR(MONTH((DATE(Jahr,9,1)-WEEKDAY(DATE(Jahr,9,1),2)+1)+7)=9,MONTH((DATE(Jahr,9,1)-WEEKDAY(DATE(Jahr,9,1),2)+1)+7+6)=9),_xlfn.ISOWEEKNUM((DATE(Jahr,9,1)-WEEKDAY(DATE(Jahr,9,1),2)+1)+7),"")</f>
        <v>36</v>
      </c>
      <c r="B8" s="37">
        <f>IF(MONTH((DATE(Jahr,9,1)-WEEKDAY(DATE(Jahr,9,1),2)+1)+7)=9,(DATE(Jahr,9,1)-WEEKDAY(DATE(Jahr,9,1),2)+1)+7,"")</f>
        <v>46636</v>
      </c>
      <c r="C8" s="37">
        <f>IF(MONTH((DATE(Jahr,9,1)-WEEKDAY(DATE(Jahr,9,1),2)+1)+8)=9,(DATE(Jahr,9,1)-WEEKDAY(DATE(Jahr,9,1),2)+1)+8,"")</f>
        <v>46637</v>
      </c>
      <c r="D8" s="37">
        <f>IF(MONTH((DATE(Jahr,9,1)-WEEKDAY(DATE(Jahr,9,1),2)+1)+9)=9,(DATE(Jahr,9,1)-WEEKDAY(DATE(Jahr,9,1),2)+1)+9,"")</f>
        <v>46638</v>
      </c>
      <c r="E8" s="37">
        <f>IF(MONTH((DATE(Jahr,9,1)-WEEKDAY(DATE(Jahr,9,1),2)+1)+10)=9,(DATE(Jahr,9,1)-WEEKDAY(DATE(Jahr,9,1),2)+1)+10,"")</f>
        <v>46639</v>
      </c>
      <c r="F8" s="37">
        <f>IF(MONTH((DATE(Jahr,9,1)-WEEKDAY(DATE(Jahr,9,1),2)+1)+11)=9,(DATE(Jahr,9,1)-WEEKDAY(DATE(Jahr,9,1),2)+1)+11,"")</f>
        <v>46640</v>
      </c>
      <c r="G8" s="38">
        <f>IF(MONTH((DATE(Jahr,9,1)-WEEKDAY(DATE(Jahr,9,1),2)+1)+12)=9,(DATE(Jahr,9,1)-WEEKDAY(DATE(Jahr,9,1),2)+1)+12,"")</f>
        <v>46641</v>
      </c>
      <c r="H8" s="38">
        <f>IF(MONTH((DATE(Jahr,9,1)-WEEKDAY(DATE(Jahr,9,1),2)+1)+13)=9,(DATE(Jahr,9,1)-WEEKDAY(DATE(Jahr,9,1),2)+1)+13,"")</f>
        <v>46642</v>
      </c>
      <c r="J8" s="39"/>
    </row>
    <row r="9" spans="1:10" ht="27.95" customHeight="1" x14ac:dyDescent="0.25">
      <c r="A9" s="82"/>
      <c r="B9" s="40" t="str">
        <f t="shared" ref="B9:H9" si="1">IF(ISNUMBER(B8),IF(IFERROR(INDEX(FT_Name,MATCH(B8,Feiertage_aktiv,0)),"")="",IFERROR(INDEX(BT_Name,MATCH(B8,BT_Datum,0)),""),IF(IFERROR(INDEX(BT_Name,MATCH(B8,BT_Datum,0)),"")="",IFERROR(INDEX(FT_Name,MATCH(B8,Feiertage_aktiv,0)),""),IF(LEFT(IFERROR(INDEX(BT_Name,MATCH(B8,BT_Datum,0)),""),LEN(IFERROR(INDEX(FT_Name,MATCH(B8,Feiertage_aktiv,0)),"")))=IFERROR(INDEX(FT_Name,MATCH(B8,Feiertage_aktiv,0)),""),IFERROR(INDEX(BT_Name,MATCH(B8,BT_Datum,0)),""),IFERROR(INDEX(FT_Name,MATCH(B8,Feiertage_aktiv,0)),"")&amp;" · "&amp;IFERROR(INDEX(BT_Name,MATCH(B8,BT_Datum,0)),"")))),"")</f>
        <v/>
      </c>
      <c r="C9" s="40" t="str">
        <f t="shared" si="1"/>
        <v/>
      </c>
      <c r="D9" s="40" t="str">
        <f t="shared" si="1"/>
        <v/>
      </c>
      <c r="E9" s="40" t="str">
        <f t="shared" si="1"/>
        <v/>
      </c>
      <c r="F9" s="40" t="str">
        <f t="shared" si="1"/>
        <v/>
      </c>
      <c r="G9" s="41" t="str">
        <f t="shared" si="1"/>
        <v/>
      </c>
      <c r="H9" s="41" t="str">
        <f t="shared" si="1"/>
        <v/>
      </c>
      <c r="J9" s="39"/>
    </row>
    <row r="10" spans="1:10" ht="21.95" customHeight="1" x14ac:dyDescent="0.25">
      <c r="A10" s="82"/>
      <c r="B10" s="42"/>
      <c r="C10" s="42"/>
      <c r="D10" s="42"/>
      <c r="E10" s="42"/>
      <c r="F10" s="42"/>
      <c r="G10" s="43"/>
      <c r="H10" s="43"/>
      <c r="J10" s="39"/>
    </row>
    <row r="11" spans="1:10" ht="23.1" customHeight="1" x14ac:dyDescent="0.25">
      <c r="A11" s="83"/>
      <c r="B11" s="44"/>
      <c r="C11" s="44"/>
      <c r="D11" s="44"/>
      <c r="E11" s="44"/>
      <c r="F11" s="44"/>
      <c r="G11" s="45"/>
      <c r="H11" s="45"/>
      <c r="J11" s="46"/>
    </row>
    <row r="12" spans="1:10" ht="24.95" customHeight="1" x14ac:dyDescent="0.25">
      <c r="A12" s="81">
        <f>IF(OR(MONTH((DATE(Jahr,9,1)-WEEKDAY(DATE(Jahr,9,1),2)+1)+14)=9,MONTH((DATE(Jahr,9,1)-WEEKDAY(DATE(Jahr,9,1),2)+1)+14+6)=9),_xlfn.ISOWEEKNUM((DATE(Jahr,9,1)-WEEKDAY(DATE(Jahr,9,1),2)+1)+14),"")</f>
        <v>37</v>
      </c>
      <c r="B12" s="37">
        <f>IF(MONTH((DATE(Jahr,9,1)-WEEKDAY(DATE(Jahr,9,1),2)+1)+14)=9,(DATE(Jahr,9,1)-WEEKDAY(DATE(Jahr,9,1),2)+1)+14,"")</f>
        <v>46643</v>
      </c>
      <c r="C12" s="37">
        <f>IF(MONTH((DATE(Jahr,9,1)-WEEKDAY(DATE(Jahr,9,1),2)+1)+15)=9,(DATE(Jahr,9,1)-WEEKDAY(DATE(Jahr,9,1),2)+1)+15,"")</f>
        <v>46644</v>
      </c>
      <c r="D12" s="37">
        <f>IF(MONTH((DATE(Jahr,9,1)-WEEKDAY(DATE(Jahr,9,1),2)+1)+16)=9,(DATE(Jahr,9,1)-WEEKDAY(DATE(Jahr,9,1),2)+1)+16,"")</f>
        <v>46645</v>
      </c>
      <c r="E12" s="37">
        <f>IF(MONTH((DATE(Jahr,9,1)-WEEKDAY(DATE(Jahr,9,1),2)+1)+17)=9,(DATE(Jahr,9,1)-WEEKDAY(DATE(Jahr,9,1),2)+1)+17,"")</f>
        <v>46646</v>
      </c>
      <c r="F12" s="37">
        <f>IF(MONTH((DATE(Jahr,9,1)-WEEKDAY(DATE(Jahr,9,1),2)+1)+18)=9,(DATE(Jahr,9,1)-WEEKDAY(DATE(Jahr,9,1),2)+1)+18,"")</f>
        <v>46647</v>
      </c>
      <c r="G12" s="38">
        <f>IF(MONTH((DATE(Jahr,9,1)-WEEKDAY(DATE(Jahr,9,1),2)+1)+19)=9,(DATE(Jahr,9,1)-WEEKDAY(DATE(Jahr,9,1),2)+1)+19,"")</f>
        <v>46648</v>
      </c>
      <c r="H12" s="38">
        <f>IF(MONTH((DATE(Jahr,9,1)-WEEKDAY(DATE(Jahr,9,1),2)+1)+20)=9,(DATE(Jahr,9,1)-WEEKDAY(DATE(Jahr,9,1),2)+1)+20,"")</f>
        <v>46649</v>
      </c>
      <c r="J12" s="39"/>
    </row>
    <row r="13" spans="1:10" ht="27.95" customHeight="1" x14ac:dyDescent="0.25">
      <c r="A13" s="82"/>
      <c r="B13" s="40" t="str">
        <f t="shared" ref="B13:H13" si="2">IF(ISNUMBER(B12),IF(IFERROR(INDEX(FT_Name,MATCH(B12,Feiertage_aktiv,0)),"")="",IFERROR(INDEX(BT_Name,MATCH(B12,BT_Datum,0)),""),IF(IFERROR(INDEX(BT_Name,MATCH(B12,BT_Datum,0)),"")="",IFERROR(INDEX(FT_Name,MATCH(B12,Feiertage_aktiv,0)),""),IF(LEFT(IFERROR(INDEX(BT_Name,MATCH(B12,BT_Datum,0)),""),LEN(IFERROR(INDEX(FT_Name,MATCH(B12,Feiertage_aktiv,0)),"")))=IFERROR(INDEX(FT_Name,MATCH(B12,Feiertage_aktiv,0)),""),IFERROR(INDEX(BT_Name,MATCH(B12,BT_Datum,0)),""),IFERROR(INDEX(FT_Name,MATCH(B12,Feiertage_aktiv,0)),"")&amp;" · "&amp;IFERROR(INDEX(BT_Name,MATCH(B12,BT_Datum,0)),"")))),"")</f>
        <v/>
      </c>
      <c r="C13" s="40" t="str">
        <f t="shared" si="2"/>
        <v/>
      </c>
      <c r="D13" s="40" t="str">
        <f t="shared" si="2"/>
        <v/>
      </c>
      <c r="E13" s="40" t="str">
        <f t="shared" si="2"/>
        <v/>
      </c>
      <c r="F13" s="40" t="str">
        <f t="shared" si="2"/>
        <v/>
      </c>
      <c r="G13" s="41" t="str">
        <f t="shared" si="2"/>
        <v/>
      </c>
      <c r="H13" s="41" t="str">
        <f t="shared" si="2"/>
        <v/>
      </c>
      <c r="J13" s="39"/>
    </row>
    <row r="14" spans="1:10" ht="21.95" customHeight="1" x14ac:dyDescent="0.25">
      <c r="A14" s="82"/>
      <c r="B14" s="42"/>
      <c r="C14" s="42"/>
      <c r="D14" s="42"/>
      <c r="E14" s="42"/>
      <c r="F14" s="42"/>
      <c r="G14" s="43"/>
      <c r="H14" s="43"/>
      <c r="J14" s="39"/>
    </row>
    <row r="15" spans="1:10" ht="23.1" customHeight="1" x14ac:dyDescent="0.25">
      <c r="A15" s="83"/>
      <c r="B15" s="44"/>
      <c r="C15" s="44"/>
      <c r="D15" s="44"/>
      <c r="E15" s="44"/>
      <c r="F15" s="44"/>
      <c r="G15" s="45"/>
      <c r="H15" s="45"/>
      <c r="J15" s="46"/>
    </row>
    <row r="16" spans="1:10" ht="24.95" customHeight="1" x14ac:dyDescent="0.25">
      <c r="A16" s="81">
        <f>IF(OR(MONTH((DATE(Jahr,9,1)-WEEKDAY(DATE(Jahr,9,1),2)+1)+21)=9,MONTH((DATE(Jahr,9,1)-WEEKDAY(DATE(Jahr,9,1),2)+1)+21+6)=9),_xlfn.ISOWEEKNUM((DATE(Jahr,9,1)-WEEKDAY(DATE(Jahr,9,1),2)+1)+21),"")</f>
        <v>38</v>
      </c>
      <c r="B16" s="37">
        <f>IF(MONTH((DATE(Jahr,9,1)-WEEKDAY(DATE(Jahr,9,1),2)+1)+21)=9,(DATE(Jahr,9,1)-WEEKDAY(DATE(Jahr,9,1),2)+1)+21,"")</f>
        <v>46650</v>
      </c>
      <c r="C16" s="37">
        <f>IF(MONTH((DATE(Jahr,9,1)-WEEKDAY(DATE(Jahr,9,1),2)+1)+22)=9,(DATE(Jahr,9,1)-WEEKDAY(DATE(Jahr,9,1),2)+1)+22,"")</f>
        <v>46651</v>
      </c>
      <c r="D16" s="37">
        <f>IF(MONTH((DATE(Jahr,9,1)-WEEKDAY(DATE(Jahr,9,1),2)+1)+23)=9,(DATE(Jahr,9,1)-WEEKDAY(DATE(Jahr,9,1),2)+1)+23,"")</f>
        <v>46652</v>
      </c>
      <c r="E16" s="37">
        <f>IF(MONTH((DATE(Jahr,9,1)-WEEKDAY(DATE(Jahr,9,1),2)+1)+24)=9,(DATE(Jahr,9,1)-WEEKDAY(DATE(Jahr,9,1),2)+1)+24,"")</f>
        <v>46653</v>
      </c>
      <c r="F16" s="37">
        <f>IF(MONTH((DATE(Jahr,9,1)-WEEKDAY(DATE(Jahr,9,1),2)+1)+25)=9,(DATE(Jahr,9,1)-WEEKDAY(DATE(Jahr,9,1),2)+1)+25,"")</f>
        <v>46654</v>
      </c>
      <c r="G16" s="38">
        <f>IF(MONTH((DATE(Jahr,9,1)-WEEKDAY(DATE(Jahr,9,1),2)+1)+26)=9,(DATE(Jahr,9,1)-WEEKDAY(DATE(Jahr,9,1),2)+1)+26,"")</f>
        <v>46655</v>
      </c>
      <c r="H16" s="38">
        <f>IF(MONTH((DATE(Jahr,9,1)-WEEKDAY(DATE(Jahr,9,1),2)+1)+27)=9,(DATE(Jahr,9,1)-WEEKDAY(DATE(Jahr,9,1),2)+1)+27,"")</f>
        <v>46656</v>
      </c>
      <c r="J16" s="39"/>
    </row>
    <row r="17" spans="1:10" ht="27.95" customHeight="1" x14ac:dyDescent="0.25">
      <c r="A17" s="82"/>
      <c r="B17" s="40" t="str">
        <f t="shared" ref="B17:H17" si="3">IF(ISNUMBER(B16),IF(IFERROR(INDEX(FT_Name,MATCH(B16,Feiertage_aktiv,0)),"")="",IFERROR(INDEX(BT_Name,MATCH(B16,BT_Datum,0)),""),IF(IFERROR(INDEX(BT_Name,MATCH(B16,BT_Datum,0)),"")="",IFERROR(INDEX(FT_Name,MATCH(B16,Feiertage_aktiv,0)),""),IF(LEFT(IFERROR(INDEX(BT_Name,MATCH(B16,BT_Datum,0)),""),LEN(IFERROR(INDEX(FT_Name,MATCH(B16,Feiertage_aktiv,0)),"")))=IFERROR(INDEX(FT_Name,MATCH(B16,Feiertage_aktiv,0)),""),IFERROR(INDEX(BT_Name,MATCH(B16,BT_Datum,0)),""),IFERROR(INDEX(FT_Name,MATCH(B16,Feiertage_aktiv,0)),"")&amp;" · "&amp;IFERROR(INDEX(BT_Name,MATCH(B16,BT_Datum,0)),"")))),"")</f>
        <v/>
      </c>
      <c r="C17" s="40" t="str">
        <f t="shared" si="3"/>
        <v/>
      </c>
      <c r="D17" s="40" t="str">
        <f t="shared" si="3"/>
        <v/>
      </c>
      <c r="E17" s="40" t="str">
        <f t="shared" si="3"/>
        <v/>
      </c>
      <c r="F17" s="40" t="str">
        <f t="shared" si="3"/>
        <v/>
      </c>
      <c r="G17" s="41" t="str">
        <f t="shared" si="3"/>
        <v/>
      </c>
      <c r="H17" s="41" t="str">
        <f t="shared" si="3"/>
        <v/>
      </c>
      <c r="J17" s="39"/>
    </row>
    <row r="18" spans="1:10" ht="21.95" customHeight="1" x14ac:dyDescent="0.25">
      <c r="A18" s="82"/>
      <c r="B18" s="42"/>
      <c r="C18" s="42"/>
      <c r="D18" s="42"/>
      <c r="E18" s="42"/>
      <c r="F18" s="42"/>
      <c r="G18" s="43"/>
      <c r="H18" s="43"/>
      <c r="J18" s="39"/>
    </row>
    <row r="19" spans="1:10" ht="23.1" customHeight="1" x14ac:dyDescent="0.25">
      <c r="A19" s="83"/>
      <c r="B19" s="44"/>
      <c r="C19" s="44"/>
      <c r="D19" s="44"/>
      <c r="E19" s="44"/>
      <c r="F19" s="44"/>
      <c r="G19" s="45"/>
      <c r="H19" s="45"/>
      <c r="J19" s="46"/>
    </row>
    <row r="20" spans="1:10" ht="24.95" customHeight="1" x14ac:dyDescent="0.25">
      <c r="A20" s="81">
        <f>IF(OR(MONTH((DATE(Jahr,9,1)-WEEKDAY(DATE(Jahr,9,1),2)+1)+28)=9,MONTH((DATE(Jahr,9,1)-WEEKDAY(DATE(Jahr,9,1),2)+1)+28+6)=9),_xlfn.ISOWEEKNUM((DATE(Jahr,9,1)-WEEKDAY(DATE(Jahr,9,1),2)+1)+28),"")</f>
        <v>39</v>
      </c>
      <c r="B20" s="37">
        <f>IF(MONTH((DATE(Jahr,9,1)-WEEKDAY(DATE(Jahr,9,1),2)+1)+28)=9,(DATE(Jahr,9,1)-WEEKDAY(DATE(Jahr,9,1),2)+1)+28,"")</f>
        <v>46657</v>
      </c>
      <c r="C20" s="37">
        <f>IF(MONTH((DATE(Jahr,9,1)-WEEKDAY(DATE(Jahr,9,1),2)+1)+29)=9,(DATE(Jahr,9,1)-WEEKDAY(DATE(Jahr,9,1),2)+1)+29,"")</f>
        <v>46658</v>
      </c>
      <c r="D20" s="37">
        <f>IF(MONTH((DATE(Jahr,9,1)-WEEKDAY(DATE(Jahr,9,1),2)+1)+30)=9,(DATE(Jahr,9,1)-WEEKDAY(DATE(Jahr,9,1),2)+1)+30,"")</f>
        <v>46659</v>
      </c>
      <c r="E20" s="37">
        <f>IF(MONTH((DATE(Jahr,9,1)-WEEKDAY(DATE(Jahr,9,1),2)+1)+31)=9,(DATE(Jahr,9,1)-WEEKDAY(DATE(Jahr,9,1),2)+1)+31,"")</f>
        <v>46660</v>
      </c>
      <c r="F20" s="37" t="str">
        <f>IF(MONTH((DATE(Jahr,9,1)-WEEKDAY(DATE(Jahr,9,1),2)+1)+32)=9,(DATE(Jahr,9,1)-WEEKDAY(DATE(Jahr,9,1),2)+1)+32,"")</f>
        <v/>
      </c>
      <c r="G20" s="38" t="str">
        <f>IF(MONTH((DATE(Jahr,9,1)-WEEKDAY(DATE(Jahr,9,1),2)+1)+33)=9,(DATE(Jahr,9,1)-WEEKDAY(DATE(Jahr,9,1),2)+1)+33,"")</f>
        <v/>
      </c>
      <c r="H20" s="38" t="str">
        <f>IF(MONTH((DATE(Jahr,9,1)-WEEKDAY(DATE(Jahr,9,1),2)+1)+34)=9,(DATE(Jahr,9,1)-WEEKDAY(DATE(Jahr,9,1),2)+1)+34,"")</f>
        <v/>
      </c>
      <c r="J20" s="39"/>
    </row>
    <row r="21" spans="1:10" ht="27.95" customHeight="1" x14ac:dyDescent="0.25">
      <c r="A21" s="82"/>
      <c r="B21" s="40" t="str">
        <f t="shared" ref="B21:H21" si="4">IF(ISNUMBER(B20),IF(IFERROR(INDEX(FT_Name,MATCH(B20,Feiertage_aktiv,0)),"")="",IFERROR(INDEX(BT_Name,MATCH(B20,BT_Datum,0)),""),IF(IFERROR(INDEX(BT_Name,MATCH(B20,BT_Datum,0)),"")="",IFERROR(INDEX(FT_Name,MATCH(B20,Feiertage_aktiv,0)),""),IF(LEFT(IFERROR(INDEX(BT_Name,MATCH(B20,BT_Datum,0)),""),LEN(IFERROR(INDEX(FT_Name,MATCH(B20,Feiertage_aktiv,0)),"")))=IFERROR(INDEX(FT_Name,MATCH(B20,Feiertage_aktiv,0)),""),IFERROR(INDEX(BT_Name,MATCH(B20,BT_Datum,0)),""),IFERROR(INDEX(FT_Name,MATCH(B20,Feiertage_aktiv,0)),"")&amp;" · "&amp;IFERROR(INDEX(BT_Name,MATCH(B20,BT_Datum,0)),"")))),"")</f>
        <v/>
      </c>
      <c r="C21" s="40" t="str">
        <f t="shared" si="4"/>
        <v/>
      </c>
      <c r="D21" s="40" t="str">
        <f t="shared" si="4"/>
        <v/>
      </c>
      <c r="E21" s="40" t="str">
        <f t="shared" si="4"/>
        <v/>
      </c>
      <c r="F21" s="40" t="str">
        <f t="shared" si="4"/>
        <v/>
      </c>
      <c r="G21" s="41" t="str">
        <f t="shared" si="4"/>
        <v/>
      </c>
      <c r="H21" s="41" t="str">
        <f t="shared" si="4"/>
        <v/>
      </c>
      <c r="J21" s="39"/>
    </row>
    <row r="22" spans="1:10" ht="21.95" customHeight="1" x14ac:dyDescent="0.25">
      <c r="A22" s="82"/>
      <c r="B22" s="42"/>
      <c r="C22" s="42"/>
      <c r="D22" s="42"/>
      <c r="E22" s="42"/>
      <c r="F22" s="42"/>
      <c r="G22" s="43"/>
      <c r="H22" s="43"/>
      <c r="J22" s="39"/>
    </row>
    <row r="23" spans="1:10" ht="23.1" customHeight="1" x14ac:dyDescent="0.25">
      <c r="A23" s="83"/>
      <c r="B23" s="44"/>
      <c r="C23" s="44"/>
      <c r="D23" s="44"/>
      <c r="E23" s="44"/>
      <c r="F23" s="44"/>
      <c r="G23" s="45"/>
      <c r="H23" s="45"/>
      <c r="J23" s="46"/>
    </row>
    <row r="24" spans="1:10" ht="24.95" customHeight="1" x14ac:dyDescent="0.25">
      <c r="A24" s="81" t="str">
        <f>IF(OR(MONTH((DATE(Jahr,9,1)-WEEKDAY(DATE(Jahr,9,1),2)+1)+35)=9,MONTH((DATE(Jahr,9,1)-WEEKDAY(DATE(Jahr,9,1),2)+1)+35+6)=9),_xlfn.ISOWEEKNUM((DATE(Jahr,9,1)-WEEKDAY(DATE(Jahr,9,1),2)+1)+35),"")</f>
        <v/>
      </c>
      <c r="B24" s="37" t="str">
        <f>IF(MONTH((DATE(Jahr,9,1)-WEEKDAY(DATE(Jahr,9,1),2)+1)+35)=9,(DATE(Jahr,9,1)-WEEKDAY(DATE(Jahr,9,1),2)+1)+35,"")</f>
        <v/>
      </c>
      <c r="C24" s="37" t="str">
        <f>IF(MONTH((DATE(Jahr,9,1)-WEEKDAY(DATE(Jahr,9,1),2)+1)+36)=9,(DATE(Jahr,9,1)-WEEKDAY(DATE(Jahr,9,1),2)+1)+36,"")</f>
        <v/>
      </c>
      <c r="D24" s="37" t="str">
        <f>IF(MONTH((DATE(Jahr,9,1)-WEEKDAY(DATE(Jahr,9,1),2)+1)+37)=9,(DATE(Jahr,9,1)-WEEKDAY(DATE(Jahr,9,1),2)+1)+37,"")</f>
        <v/>
      </c>
      <c r="E24" s="37" t="str">
        <f>IF(MONTH((DATE(Jahr,9,1)-WEEKDAY(DATE(Jahr,9,1),2)+1)+38)=9,(DATE(Jahr,9,1)-WEEKDAY(DATE(Jahr,9,1),2)+1)+38,"")</f>
        <v/>
      </c>
      <c r="F24" s="37" t="str">
        <f>IF(MONTH((DATE(Jahr,9,1)-WEEKDAY(DATE(Jahr,9,1),2)+1)+39)=9,(DATE(Jahr,9,1)-WEEKDAY(DATE(Jahr,9,1),2)+1)+39,"")</f>
        <v/>
      </c>
      <c r="G24" s="38" t="str">
        <f>IF(MONTH((DATE(Jahr,9,1)-WEEKDAY(DATE(Jahr,9,1),2)+1)+40)=9,(DATE(Jahr,9,1)-WEEKDAY(DATE(Jahr,9,1),2)+1)+40,"")</f>
        <v/>
      </c>
      <c r="H24" s="38" t="str">
        <f>IF(MONTH((DATE(Jahr,9,1)-WEEKDAY(DATE(Jahr,9,1),2)+1)+41)=9,(DATE(Jahr,9,1)-WEEKDAY(DATE(Jahr,9,1),2)+1)+41,"")</f>
        <v/>
      </c>
      <c r="J24" s="39"/>
    </row>
    <row r="25" spans="1:10" ht="27.95" customHeight="1" x14ac:dyDescent="0.25">
      <c r="A25" s="82"/>
      <c r="B25" s="40" t="str">
        <f t="shared" ref="B25:H25" si="5">IF(ISNUMBER(B24),IF(IFERROR(INDEX(FT_Name,MATCH(B24,Feiertage_aktiv,0)),"")="",IFERROR(INDEX(BT_Name,MATCH(B24,BT_Datum,0)),""),IF(IFERROR(INDEX(BT_Name,MATCH(B24,BT_Datum,0)),"")="",IFERROR(INDEX(FT_Name,MATCH(B24,Feiertage_aktiv,0)),""),IF(LEFT(IFERROR(INDEX(BT_Name,MATCH(B24,BT_Datum,0)),""),LEN(IFERROR(INDEX(FT_Name,MATCH(B24,Feiertage_aktiv,0)),"")))=IFERROR(INDEX(FT_Name,MATCH(B24,Feiertage_aktiv,0)),""),IFERROR(INDEX(BT_Name,MATCH(B24,BT_Datum,0)),""),IFERROR(INDEX(FT_Name,MATCH(B24,Feiertage_aktiv,0)),"")&amp;" · "&amp;IFERROR(INDEX(BT_Name,MATCH(B24,BT_Datum,0)),"")))),"")</f>
        <v/>
      </c>
      <c r="C25" s="40" t="str">
        <f t="shared" si="5"/>
        <v/>
      </c>
      <c r="D25" s="40" t="str">
        <f t="shared" si="5"/>
        <v/>
      </c>
      <c r="E25" s="40" t="str">
        <f t="shared" si="5"/>
        <v/>
      </c>
      <c r="F25" s="40" t="str">
        <f t="shared" si="5"/>
        <v/>
      </c>
      <c r="G25" s="41" t="str">
        <f t="shared" si="5"/>
        <v/>
      </c>
      <c r="H25" s="41" t="str">
        <f t="shared" si="5"/>
        <v/>
      </c>
      <c r="J25" s="39"/>
    </row>
    <row r="26" spans="1:10" ht="21.95" customHeight="1" x14ac:dyDescent="0.25">
      <c r="A26" s="82"/>
      <c r="B26" s="42"/>
      <c r="C26" s="42"/>
      <c r="D26" s="42"/>
      <c r="E26" s="42"/>
      <c r="F26" s="42"/>
      <c r="G26" s="43"/>
      <c r="H26" s="43"/>
      <c r="J26" s="39"/>
    </row>
    <row r="27" spans="1:10" ht="23.1" customHeight="1" x14ac:dyDescent="0.25">
      <c r="A27" s="83"/>
      <c r="B27" s="44"/>
      <c r="C27" s="44"/>
      <c r="D27" s="44"/>
      <c r="E27" s="44"/>
      <c r="F27" s="44"/>
      <c r="G27" s="45"/>
      <c r="H27" s="45"/>
      <c r="J27" s="46"/>
    </row>
    <row r="28" spans="1:10" ht="15.95" customHeight="1" x14ac:dyDescent="0.25">
      <c r="A28" s="47" t="str">
        <f>"Rot: gesetzlicher Feiertag in "&amp;Bundesland&amp;". Grau: besondere Tage ohne Feiertag. Jahr und Bundesland ändern Sie im Blatt Jahreskalender."</f>
        <v>Rot: gesetzlicher Feiertag in Nordrhein-Westfalen. Grau: besondere Tage ohne Feiertag. Jahr und Bundesland ändern Sie im Blatt Jahreskalender.</v>
      </c>
    </row>
  </sheetData>
  <mergeCells count="6">
    <mergeCell ref="A4:A7"/>
    <mergeCell ref="A8:A11"/>
    <mergeCell ref="A12:A15"/>
    <mergeCell ref="A20:A23"/>
    <mergeCell ref="A24:A27"/>
    <mergeCell ref="A16:A19"/>
  </mergeCells>
  <conditionalFormatting sqref="B4:H7">
    <cfRule type="expression" dxfId="52" priority="1" stopIfTrue="1">
      <formula>B$4=""</formula>
    </cfRule>
    <cfRule type="expression" dxfId="51" priority="2">
      <formula>AND(ISNUMBER(B$4),COUNTIF(Feiertage_aktiv,B$4)&gt;0)</formula>
    </cfRule>
  </conditionalFormatting>
  <conditionalFormatting sqref="B8:H11">
    <cfRule type="expression" dxfId="50" priority="3" stopIfTrue="1">
      <formula>B$8=""</formula>
    </cfRule>
    <cfRule type="expression" dxfId="49" priority="4">
      <formula>AND(ISNUMBER(B$8),COUNTIF(Feiertage_aktiv,B$8)&gt;0)</formula>
    </cfRule>
  </conditionalFormatting>
  <conditionalFormatting sqref="B12:H15">
    <cfRule type="expression" dxfId="48" priority="5" stopIfTrue="1">
      <formula>B$12=""</formula>
    </cfRule>
    <cfRule type="expression" dxfId="47" priority="6">
      <formula>AND(ISNUMBER(B$12),COUNTIF(Feiertage_aktiv,B$12)&gt;0)</formula>
    </cfRule>
  </conditionalFormatting>
  <conditionalFormatting sqref="B16:H19">
    <cfRule type="expression" dxfId="46" priority="7" stopIfTrue="1">
      <formula>B$16=""</formula>
    </cfRule>
    <cfRule type="expression" dxfId="45" priority="8">
      <formula>AND(ISNUMBER(B$16),COUNTIF(Feiertage_aktiv,B$16)&gt;0)</formula>
    </cfRule>
  </conditionalFormatting>
  <conditionalFormatting sqref="B20:H23">
    <cfRule type="expression" dxfId="44" priority="9" stopIfTrue="1">
      <formula>B$20=""</formula>
    </cfRule>
    <cfRule type="expression" dxfId="43" priority="10">
      <formula>AND(ISNUMBER(B$20),COUNTIF(Feiertage_aktiv,B$20)&gt;0)</formula>
    </cfRule>
  </conditionalFormatting>
  <conditionalFormatting sqref="B24:H27">
    <cfRule type="expression" dxfId="42" priority="11" stopIfTrue="1">
      <formula>B$24=""</formula>
    </cfRule>
    <cfRule type="expression" dxfId="41" priority="12">
      <formula>AND(ISNUMBER(B$24),COUNTIF(Feiertage_aktiv,B$24)&gt;0)</formula>
    </cfRule>
  </conditionalFormatting>
  <printOptions horizontalCentered="1"/>
  <pageMargins left="0.4" right="0.4" top="0.45" bottom="0.55000000000000004" header="0.2" footer="0.25"/>
  <pageSetup paperSize="9" orientation="landscape"/>
  <headerFooter>
    <oddFooter>&amp;C&amp;8 &amp;K686E70Vorlage von seminaron.de&amp;R&amp;8 &amp;K686E70&amp;A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28"/>
  <sheetViews>
    <sheetView showGridLines="0" zoomScale="85" workbookViewId="0"/>
  </sheetViews>
  <sheetFormatPr baseColWidth="10" defaultColWidth="9.140625" defaultRowHeight="15" x14ac:dyDescent="0.25"/>
  <cols>
    <col min="1" max="1" width="5.42578125" customWidth="1"/>
    <col min="2" max="8" width="19.42578125" customWidth="1"/>
    <col min="9" max="9" width="1.42578125" customWidth="1"/>
    <col min="10" max="10" width="30" customWidth="1"/>
  </cols>
  <sheetData>
    <row r="1" spans="1:10" ht="36" customHeight="1" x14ac:dyDescent="0.25">
      <c r="A1" s="34" t="str">
        <f>"Oktober "&amp;Jahr</f>
        <v>Oktober 2027</v>
      </c>
    </row>
    <row r="2" spans="1:10" ht="18" customHeight="1" x14ac:dyDescent="0.25">
      <c r="A2" s="20" t="str">
        <f>"Feiertage: "&amp;Bundesland&amp;" · Arbeitstage Montag bis Freitag: "&amp;NETWORKDAYS(DATE(Jahr,10,1),DATE(Jahr,11,0),Feiertage_aktiv)</f>
        <v>Feiertage: Nordrhein-Westfalen · Arbeitstage Montag bis Freitag: 21</v>
      </c>
    </row>
    <row r="3" spans="1:10" ht="21" customHeight="1" x14ac:dyDescent="0.25">
      <c r="A3" s="35" t="s">
        <v>7</v>
      </c>
      <c r="B3" s="35" t="s">
        <v>56</v>
      </c>
      <c r="C3" s="35" t="s">
        <v>57</v>
      </c>
      <c r="D3" s="35" t="s">
        <v>58</v>
      </c>
      <c r="E3" s="35" t="s">
        <v>59</v>
      </c>
      <c r="F3" s="35" t="s">
        <v>60</v>
      </c>
      <c r="G3" s="36" t="s">
        <v>61</v>
      </c>
      <c r="H3" s="36" t="s">
        <v>62</v>
      </c>
      <c r="J3" s="35" t="s">
        <v>63</v>
      </c>
    </row>
    <row r="4" spans="1:10" ht="24.95" customHeight="1" x14ac:dyDescent="0.25">
      <c r="A4" s="81">
        <f>IF(OR(MONTH((DATE(Jahr,10,1)-WEEKDAY(DATE(Jahr,10,1),2)+1)+0)=10,MONTH((DATE(Jahr,10,1)-WEEKDAY(DATE(Jahr,10,1),2)+1)+0+6)=10),_xlfn.ISOWEEKNUM((DATE(Jahr,10,1)-WEEKDAY(DATE(Jahr,10,1),2)+1)+0),"")</f>
        <v>39</v>
      </c>
      <c r="B4" s="37" t="str">
        <f>IF(MONTH((DATE(Jahr,10,1)-WEEKDAY(DATE(Jahr,10,1),2)+1)+0)=10,(DATE(Jahr,10,1)-WEEKDAY(DATE(Jahr,10,1),2)+1)+0,"")</f>
        <v/>
      </c>
      <c r="C4" s="37" t="str">
        <f>IF(MONTH((DATE(Jahr,10,1)-WEEKDAY(DATE(Jahr,10,1),2)+1)+1)=10,(DATE(Jahr,10,1)-WEEKDAY(DATE(Jahr,10,1),2)+1)+1,"")</f>
        <v/>
      </c>
      <c r="D4" s="37" t="str">
        <f>IF(MONTH((DATE(Jahr,10,1)-WEEKDAY(DATE(Jahr,10,1),2)+1)+2)=10,(DATE(Jahr,10,1)-WEEKDAY(DATE(Jahr,10,1),2)+1)+2,"")</f>
        <v/>
      </c>
      <c r="E4" s="37" t="str">
        <f>IF(MONTH((DATE(Jahr,10,1)-WEEKDAY(DATE(Jahr,10,1),2)+1)+3)=10,(DATE(Jahr,10,1)-WEEKDAY(DATE(Jahr,10,1),2)+1)+3,"")</f>
        <v/>
      </c>
      <c r="F4" s="37">
        <f>IF(MONTH((DATE(Jahr,10,1)-WEEKDAY(DATE(Jahr,10,1),2)+1)+4)=10,(DATE(Jahr,10,1)-WEEKDAY(DATE(Jahr,10,1),2)+1)+4,"")</f>
        <v>46661</v>
      </c>
      <c r="G4" s="38">
        <f>IF(MONTH((DATE(Jahr,10,1)-WEEKDAY(DATE(Jahr,10,1),2)+1)+5)=10,(DATE(Jahr,10,1)-WEEKDAY(DATE(Jahr,10,1),2)+1)+5,"")</f>
        <v>46662</v>
      </c>
      <c r="H4" s="38">
        <f>IF(MONTH((DATE(Jahr,10,1)-WEEKDAY(DATE(Jahr,10,1),2)+1)+6)=10,(DATE(Jahr,10,1)-WEEKDAY(DATE(Jahr,10,1),2)+1)+6,"")</f>
        <v>46663</v>
      </c>
      <c r="J4" s="39"/>
    </row>
    <row r="5" spans="1:10" ht="27.95" customHeight="1" x14ac:dyDescent="0.25">
      <c r="A5" s="82"/>
      <c r="B5" s="40" t="str">
        <f t="shared" ref="B5:H5" si="0">IF(ISNUMBER(B4),IF(IFERROR(INDEX(FT_Name,MATCH(B4,Feiertage_aktiv,0)),"")="",IFERROR(INDEX(BT_Name,MATCH(B4,BT_Datum,0)),""),IF(IFERROR(INDEX(BT_Name,MATCH(B4,BT_Datum,0)),"")="",IFERROR(INDEX(FT_Name,MATCH(B4,Feiertage_aktiv,0)),""),IF(LEFT(IFERROR(INDEX(BT_Name,MATCH(B4,BT_Datum,0)),""),LEN(IFERROR(INDEX(FT_Name,MATCH(B4,Feiertage_aktiv,0)),"")))=IFERROR(INDEX(FT_Name,MATCH(B4,Feiertage_aktiv,0)),""),IFERROR(INDEX(BT_Name,MATCH(B4,BT_Datum,0)),""),IFERROR(INDEX(FT_Name,MATCH(B4,Feiertage_aktiv,0)),"")&amp;" · "&amp;IFERROR(INDEX(BT_Name,MATCH(B4,BT_Datum,0)),"")))),"")</f>
        <v/>
      </c>
      <c r="C5" s="40" t="str">
        <f t="shared" si="0"/>
        <v/>
      </c>
      <c r="D5" s="40" t="str">
        <f t="shared" si="0"/>
        <v/>
      </c>
      <c r="E5" s="40" t="str">
        <f t="shared" si="0"/>
        <v/>
      </c>
      <c r="F5" s="40" t="str">
        <f t="shared" si="0"/>
        <v/>
      </c>
      <c r="G5" s="41" t="str">
        <f t="shared" si="0"/>
        <v/>
      </c>
      <c r="H5" s="41" t="str">
        <f t="shared" si="0"/>
        <v>Tag der Deutschen Einheit</v>
      </c>
      <c r="J5" s="39"/>
    </row>
    <row r="6" spans="1:10" ht="21.95" customHeight="1" x14ac:dyDescent="0.25">
      <c r="A6" s="82"/>
      <c r="B6" s="42"/>
      <c r="C6" s="42"/>
      <c r="D6" s="42"/>
      <c r="E6" s="42"/>
      <c r="F6" s="42"/>
      <c r="G6" s="43"/>
      <c r="H6" s="43"/>
      <c r="J6" s="39"/>
    </row>
    <row r="7" spans="1:10" ht="23.1" customHeight="1" x14ac:dyDescent="0.25">
      <c r="A7" s="83"/>
      <c r="B7" s="44"/>
      <c r="C7" s="44"/>
      <c r="D7" s="44"/>
      <c r="E7" s="44"/>
      <c r="F7" s="44"/>
      <c r="G7" s="45"/>
      <c r="H7" s="45"/>
      <c r="J7" s="46"/>
    </row>
    <row r="8" spans="1:10" ht="24.95" customHeight="1" x14ac:dyDescent="0.25">
      <c r="A8" s="81">
        <f>IF(OR(MONTH((DATE(Jahr,10,1)-WEEKDAY(DATE(Jahr,10,1),2)+1)+7)=10,MONTH((DATE(Jahr,10,1)-WEEKDAY(DATE(Jahr,10,1),2)+1)+7+6)=10),_xlfn.ISOWEEKNUM((DATE(Jahr,10,1)-WEEKDAY(DATE(Jahr,10,1),2)+1)+7),"")</f>
        <v>40</v>
      </c>
      <c r="B8" s="37">
        <f>IF(MONTH((DATE(Jahr,10,1)-WEEKDAY(DATE(Jahr,10,1),2)+1)+7)=10,(DATE(Jahr,10,1)-WEEKDAY(DATE(Jahr,10,1),2)+1)+7,"")</f>
        <v>46664</v>
      </c>
      <c r="C8" s="37">
        <f>IF(MONTH((DATE(Jahr,10,1)-WEEKDAY(DATE(Jahr,10,1),2)+1)+8)=10,(DATE(Jahr,10,1)-WEEKDAY(DATE(Jahr,10,1),2)+1)+8,"")</f>
        <v>46665</v>
      </c>
      <c r="D8" s="37">
        <f>IF(MONTH((DATE(Jahr,10,1)-WEEKDAY(DATE(Jahr,10,1),2)+1)+9)=10,(DATE(Jahr,10,1)-WEEKDAY(DATE(Jahr,10,1),2)+1)+9,"")</f>
        <v>46666</v>
      </c>
      <c r="E8" s="37">
        <f>IF(MONTH((DATE(Jahr,10,1)-WEEKDAY(DATE(Jahr,10,1),2)+1)+10)=10,(DATE(Jahr,10,1)-WEEKDAY(DATE(Jahr,10,1),2)+1)+10,"")</f>
        <v>46667</v>
      </c>
      <c r="F8" s="37">
        <f>IF(MONTH((DATE(Jahr,10,1)-WEEKDAY(DATE(Jahr,10,1),2)+1)+11)=10,(DATE(Jahr,10,1)-WEEKDAY(DATE(Jahr,10,1),2)+1)+11,"")</f>
        <v>46668</v>
      </c>
      <c r="G8" s="38">
        <f>IF(MONTH((DATE(Jahr,10,1)-WEEKDAY(DATE(Jahr,10,1),2)+1)+12)=10,(DATE(Jahr,10,1)-WEEKDAY(DATE(Jahr,10,1),2)+1)+12,"")</f>
        <v>46669</v>
      </c>
      <c r="H8" s="38">
        <f>IF(MONTH((DATE(Jahr,10,1)-WEEKDAY(DATE(Jahr,10,1),2)+1)+13)=10,(DATE(Jahr,10,1)-WEEKDAY(DATE(Jahr,10,1),2)+1)+13,"")</f>
        <v>46670</v>
      </c>
      <c r="J8" s="39"/>
    </row>
    <row r="9" spans="1:10" ht="27.95" customHeight="1" x14ac:dyDescent="0.25">
      <c r="A9" s="82"/>
      <c r="B9" s="40" t="str">
        <f t="shared" ref="B9:H9" si="1">IF(ISNUMBER(B8),IF(IFERROR(INDEX(FT_Name,MATCH(B8,Feiertage_aktiv,0)),"")="",IFERROR(INDEX(BT_Name,MATCH(B8,BT_Datum,0)),""),IF(IFERROR(INDEX(BT_Name,MATCH(B8,BT_Datum,0)),"")="",IFERROR(INDEX(FT_Name,MATCH(B8,Feiertage_aktiv,0)),""),IF(LEFT(IFERROR(INDEX(BT_Name,MATCH(B8,BT_Datum,0)),""),LEN(IFERROR(INDEX(FT_Name,MATCH(B8,Feiertage_aktiv,0)),"")))=IFERROR(INDEX(FT_Name,MATCH(B8,Feiertage_aktiv,0)),""),IFERROR(INDEX(BT_Name,MATCH(B8,BT_Datum,0)),""),IFERROR(INDEX(FT_Name,MATCH(B8,Feiertage_aktiv,0)),"")&amp;" · "&amp;IFERROR(INDEX(BT_Name,MATCH(B8,BT_Datum,0)),"")))),"")</f>
        <v/>
      </c>
      <c r="C9" s="40" t="str">
        <f t="shared" si="1"/>
        <v/>
      </c>
      <c r="D9" s="40" t="str">
        <f t="shared" si="1"/>
        <v/>
      </c>
      <c r="E9" s="40" t="str">
        <f t="shared" si="1"/>
        <v/>
      </c>
      <c r="F9" s="40" t="str">
        <f t="shared" si="1"/>
        <v/>
      </c>
      <c r="G9" s="41" t="str">
        <f t="shared" si="1"/>
        <v/>
      </c>
      <c r="H9" s="41" t="str">
        <f t="shared" si="1"/>
        <v/>
      </c>
      <c r="J9" s="39"/>
    </row>
    <row r="10" spans="1:10" ht="21.95" customHeight="1" x14ac:dyDescent="0.25">
      <c r="A10" s="82"/>
      <c r="B10" s="42"/>
      <c r="C10" s="42"/>
      <c r="D10" s="42"/>
      <c r="E10" s="42"/>
      <c r="F10" s="42"/>
      <c r="G10" s="43"/>
      <c r="H10" s="43"/>
      <c r="J10" s="39"/>
    </row>
    <row r="11" spans="1:10" ht="23.1" customHeight="1" x14ac:dyDescent="0.25">
      <c r="A11" s="83"/>
      <c r="B11" s="44"/>
      <c r="C11" s="44"/>
      <c r="D11" s="44"/>
      <c r="E11" s="44"/>
      <c r="F11" s="44"/>
      <c r="G11" s="45"/>
      <c r="H11" s="45"/>
      <c r="J11" s="46"/>
    </row>
    <row r="12" spans="1:10" ht="24.95" customHeight="1" x14ac:dyDescent="0.25">
      <c r="A12" s="81">
        <f>IF(OR(MONTH((DATE(Jahr,10,1)-WEEKDAY(DATE(Jahr,10,1),2)+1)+14)=10,MONTH((DATE(Jahr,10,1)-WEEKDAY(DATE(Jahr,10,1),2)+1)+14+6)=10),_xlfn.ISOWEEKNUM((DATE(Jahr,10,1)-WEEKDAY(DATE(Jahr,10,1),2)+1)+14),"")</f>
        <v>41</v>
      </c>
      <c r="B12" s="37">
        <f>IF(MONTH((DATE(Jahr,10,1)-WEEKDAY(DATE(Jahr,10,1),2)+1)+14)=10,(DATE(Jahr,10,1)-WEEKDAY(DATE(Jahr,10,1),2)+1)+14,"")</f>
        <v>46671</v>
      </c>
      <c r="C12" s="37">
        <f>IF(MONTH((DATE(Jahr,10,1)-WEEKDAY(DATE(Jahr,10,1),2)+1)+15)=10,(DATE(Jahr,10,1)-WEEKDAY(DATE(Jahr,10,1),2)+1)+15,"")</f>
        <v>46672</v>
      </c>
      <c r="D12" s="37">
        <f>IF(MONTH((DATE(Jahr,10,1)-WEEKDAY(DATE(Jahr,10,1),2)+1)+16)=10,(DATE(Jahr,10,1)-WEEKDAY(DATE(Jahr,10,1),2)+1)+16,"")</f>
        <v>46673</v>
      </c>
      <c r="E12" s="37">
        <f>IF(MONTH((DATE(Jahr,10,1)-WEEKDAY(DATE(Jahr,10,1),2)+1)+17)=10,(DATE(Jahr,10,1)-WEEKDAY(DATE(Jahr,10,1),2)+1)+17,"")</f>
        <v>46674</v>
      </c>
      <c r="F12" s="37">
        <f>IF(MONTH((DATE(Jahr,10,1)-WEEKDAY(DATE(Jahr,10,1),2)+1)+18)=10,(DATE(Jahr,10,1)-WEEKDAY(DATE(Jahr,10,1),2)+1)+18,"")</f>
        <v>46675</v>
      </c>
      <c r="G12" s="38">
        <f>IF(MONTH((DATE(Jahr,10,1)-WEEKDAY(DATE(Jahr,10,1),2)+1)+19)=10,(DATE(Jahr,10,1)-WEEKDAY(DATE(Jahr,10,1),2)+1)+19,"")</f>
        <v>46676</v>
      </c>
      <c r="H12" s="38">
        <f>IF(MONTH((DATE(Jahr,10,1)-WEEKDAY(DATE(Jahr,10,1),2)+1)+20)=10,(DATE(Jahr,10,1)-WEEKDAY(DATE(Jahr,10,1),2)+1)+20,"")</f>
        <v>46677</v>
      </c>
      <c r="J12" s="39"/>
    </row>
    <row r="13" spans="1:10" ht="27.95" customHeight="1" x14ac:dyDescent="0.25">
      <c r="A13" s="82"/>
      <c r="B13" s="40" t="str">
        <f t="shared" ref="B13:H13" si="2">IF(ISNUMBER(B12),IF(IFERROR(INDEX(FT_Name,MATCH(B12,Feiertage_aktiv,0)),"")="",IFERROR(INDEX(BT_Name,MATCH(B12,BT_Datum,0)),""),IF(IFERROR(INDEX(BT_Name,MATCH(B12,BT_Datum,0)),"")="",IFERROR(INDEX(FT_Name,MATCH(B12,Feiertage_aktiv,0)),""),IF(LEFT(IFERROR(INDEX(BT_Name,MATCH(B12,BT_Datum,0)),""),LEN(IFERROR(INDEX(FT_Name,MATCH(B12,Feiertage_aktiv,0)),"")))=IFERROR(INDEX(FT_Name,MATCH(B12,Feiertage_aktiv,0)),""),IFERROR(INDEX(BT_Name,MATCH(B12,BT_Datum,0)),""),IFERROR(INDEX(FT_Name,MATCH(B12,Feiertage_aktiv,0)),"")&amp;" · "&amp;IFERROR(INDEX(BT_Name,MATCH(B12,BT_Datum,0)),"")))),"")</f>
        <v/>
      </c>
      <c r="C13" s="40" t="str">
        <f t="shared" si="2"/>
        <v/>
      </c>
      <c r="D13" s="40" t="str">
        <f t="shared" si="2"/>
        <v/>
      </c>
      <c r="E13" s="40" t="str">
        <f t="shared" si="2"/>
        <v/>
      </c>
      <c r="F13" s="40" t="str">
        <f t="shared" si="2"/>
        <v/>
      </c>
      <c r="G13" s="41" t="str">
        <f t="shared" si="2"/>
        <v/>
      </c>
      <c r="H13" s="41" t="str">
        <f t="shared" si="2"/>
        <v/>
      </c>
      <c r="J13" s="39"/>
    </row>
    <row r="14" spans="1:10" ht="21.95" customHeight="1" x14ac:dyDescent="0.25">
      <c r="A14" s="82"/>
      <c r="B14" s="42"/>
      <c r="C14" s="42"/>
      <c r="D14" s="42"/>
      <c r="E14" s="42"/>
      <c r="F14" s="42"/>
      <c r="G14" s="43"/>
      <c r="H14" s="43"/>
      <c r="J14" s="39"/>
    </row>
    <row r="15" spans="1:10" ht="23.1" customHeight="1" x14ac:dyDescent="0.25">
      <c r="A15" s="83"/>
      <c r="B15" s="44"/>
      <c r="C15" s="44"/>
      <c r="D15" s="44"/>
      <c r="E15" s="44"/>
      <c r="F15" s="44"/>
      <c r="G15" s="45"/>
      <c r="H15" s="45"/>
      <c r="J15" s="46"/>
    </row>
    <row r="16" spans="1:10" ht="24.95" customHeight="1" x14ac:dyDescent="0.25">
      <c r="A16" s="81">
        <f>IF(OR(MONTH((DATE(Jahr,10,1)-WEEKDAY(DATE(Jahr,10,1),2)+1)+21)=10,MONTH((DATE(Jahr,10,1)-WEEKDAY(DATE(Jahr,10,1),2)+1)+21+6)=10),_xlfn.ISOWEEKNUM((DATE(Jahr,10,1)-WEEKDAY(DATE(Jahr,10,1),2)+1)+21),"")</f>
        <v>42</v>
      </c>
      <c r="B16" s="37">
        <f>IF(MONTH((DATE(Jahr,10,1)-WEEKDAY(DATE(Jahr,10,1),2)+1)+21)=10,(DATE(Jahr,10,1)-WEEKDAY(DATE(Jahr,10,1),2)+1)+21,"")</f>
        <v>46678</v>
      </c>
      <c r="C16" s="37">
        <f>IF(MONTH((DATE(Jahr,10,1)-WEEKDAY(DATE(Jahr,10,1),2)+1)+22)=10,(DATE(Jahr,10,1)-WEEKDAY(DATE(Jahr,10,1),2)+1)+22,"")</f>
        <v>46679</v>
      </c>
      <c r="D16" s="37">
        <f>IF(MONTH((DATE(Jahr,10,1)-WEEKDAY(DATE(Jahr,10,1),2)+1)+23)=10,(DATE(Jahr,10,1)-WEEKDAY(DATE(Jahr,10,1),2)+1)+23,"")</f>
        <v>46680</v>
      </c>
      <c r="E16" s="37">
        <f>IF(MONTH((DATE(Jahr,10,1)-WEEKDAY(DATE(Jahr,10,1),2)+1)+24)=10,(DATE(Jahr,10,1)-WEEKDAY(DATE(Jahr,10,1),2)+1)+24,"")</f>
        <v>46681</v>
      </c>
      <c r="F16" s="37">
        <f>IF(MONTH((DATE(Jahr,10,1)-WEEKDAY(DATE(Jahr,10,1),2)+1)+25)=10,(DATE(Jahr,10,1)-WEEKDAY(DATE(Jahr,10,1),2)+1)+25,"")</f>
        <v>46682</v>
      </c>
      <c r="G16" s="38">
        <f>IF(MONTH((DATE(Jahr,10,1)-WEEKDAY(DATE(Jahr,10,1),2)+1)+26)=10,(DATE(Jahr,10,1)-WEEKDAY(DATE(Jahr,10,1),2)+1)+26,"")</f>
        <v>46683</v>
      </c>
      <c r="H16" s="38">
        <f>IF(MONTH((DATE(Jahr,10,1)-WEEKDAY(DATE(Jahr,10,1),2)+1)+27)=10,(DATE(Jahr,10,1)-WEEKDAY(DATE(Jahr,10,1),2)+1)+27,"")</f>
        <v>46684</v>
      </c>
      <c r="J16" s="39"/>
    </row>
    <row r="17" spans="1:10" ht="27.95" customHeight="1" x14ac:dyDescent="0.25">
      <c r="A17" s="82"/>
      <c r="B17" s="40" t="str">
        <f t="shared" ref="B17:H17" si="3">IF(ISNUMBER(B16),IF(IFERROR(INDEX(FT_Name,MATCH(B16,Feiertage_aktiv,0)),"")="",IFERROR(INDEX(BT_Name,MATCH(B16,BT_Datum,0)),""),IF(IFERROR(INDEX(BT_Name,MATCH(B16,BT_Datum,0)),"")="",IFERROR(INDEX(FT_Name,MATCH(B16,Feiertage_aktiv,0)),""),IF(LEFT(IFERROR(INDEX(BT_Name,MATCH(B16,BT_Datum,0)),""),LEN(IFERROR(INDEX(FT_Name,MATCH(B16,Feiertage_aktiv,0)),"")))=IFERROR(INDEX(FT_Name,MATCH(B16,Feiertage_aktiv,0)),""),IFERROR(INDEX(BT_Name,MATCH(B16,BT_Datum,0)),""),IFERROR(INDEX(FT_Name,MATCH(B16,Feiertage_aktiv,0)),"")&amp;" · "&amp;IFERROR(INDEX(BT_Name,MATCH(B16,BT_Datum,0)),"")))),"")</f>
        <v/>
      </c>
      <c r="C17" s="40" t="str">
        <f t="shared" si="3"/>
        <v/>
      </c>
      <c r="D17" s="40" t="str">
        <f t="shared" si="3"/>
        <v/>
      </c>
      <c r="E17" s="40" t="str">
        <f t="shared" si="3"/>
        <v/>
      </c>
      <c r="F17" s="40" t="str">
        <f t="shared" si="3"/>
        <v/>
      </c>
      <c r="G17" s="41" t="str">
        <f t="shared" si="3"/>
        <v/>
      </c>
      <c r="H17" s="41" t="str">
        <f t="shared" si="3"/>
        <v/>
      </c>
      <c r="J17" s="39"/>
    </row>
    <row r="18" spans="1:10" ht="21.95" customHeight="1" x14ac:dyDescent="0.25">
      <c r="A18" s="82"/>
      <c r="B18" s="42"/>
      <c r="C18" s="42"/>
      <c r="D18" s="42"/>
      <c r="E18" s="42"/>
      <c r="F18" s="42"/>
      <c r="G18" s="43"/>
      <c r="H18" s="43"/>
      <c r="J18" s="39"/>
    </row>
    <row r="19" spans="1:10" ht="23.1" customHeight="1" x14ac:dyDescent="0.25">
      <c r="A19" s="83"/>
      <c r="B19" s="44"/>
      <c r="C19" s="44"/>
      <c r="D19" s="44"/>
      <c r="E19" s="44"/>
      <c r="F19" s="44"/>
      <c r="G19" s="45"/>
      <c r="H19" s="45"/>
      <c r="J19" s="46"/>
    </row>
    <row r="20" spans="1:10" ht="24.95" customHeight="1" x14ac:dyDescent="0.25">
      <c r="A20" s="81">
        <f>IF(OR(MONTH((DATE(Jahr,10,1)-WEEKDAY(DATE(Jahr,10,1),2)+1)+28)=10,MONTH((DATE(Jahr,10,1)-WEEKDAY(DATE(Jahr,10,1),2)+1)+28+6)=10),_xlfn.ISOWEEKNUM((DATE(Jahr,10,1)-WEEKDAY(DATE(Jahr,10,1),2)+1)+28),"")</f>
        <v>43</v>
      </c>
      <c r="B20" s="37">
        <f>IF(MONTH((DATE(Jahr,10,1)-WEEKDAY(DATE(Jahr,10,1),2)+1)+28)=10,(DATE(Jahr,10,1)-WEEKDAY(DATE(Jahr,10,1),2)+1)+28,"")</f>
        <v>46685</v>
      </c>
      <c r="C20" s="37">
        <f>IF(MONTH((DATE(Jahr,10,1)-WEEKDAY(DATE(Jahr,10,1),2)+1)+29)=10,(DATE(Jahr,10,1)-WEEKDAY(DATE(Jahr,10,1),2)+1)+29,"")</f>
        <v>46686</v>
      </c>
      <c r="D20" s="37">
        <f>IF(MONTH((DATE(Jahr,10,1)-WEEKDAY(DATE(Jahr,10,1),2)+1)+30)=10,(DATE(Jahr,10,1)-WEEKDAY(DATE(Jahr,10,1),2)+1)+30,"")</f>
        <v>46687</v>
      </c>
      <c r="E20" s="37">
        <f>IF(MONTH((DATE(Jahr,10,1)-WEEKDAY(DATE(Jahr,10,1),2)+1)+31)=10,(DATE(Jahr,10,1)-WEEKDAY(DATE(Jahr,10,1),2)+1)+31,"")</f>
        <v>46688</v>
      </c>
      <c r="F20" s="37">
        <f>IF(MONTH((DATE(Jahr,10,1)-WEEKDAY(DATE(Jahr,10,1),2)+1)+32)=10,(DATE(Jahr,10,1)-WEEKDAY(DATE(Jahr,10,1),2)+1)+32,"")</f>
        <v>46689</v>
      </c>
      <c r="G20" s="38">
        <f>IF(MONTH((DATE(Jahr,10,1)-WEEKDAY(DATE(Jahr,10,1),2)+1)+33)=10,(DATE(Jahr,10,1)-WEEKDAY(DATE(Jahr,10,1),2)+1)+33,"")</f>
        <v>46690</v>
      </c>
      <c r="H20" s="38">
        <f>IF(MONTH((DATE(Jahr,10,1)-WEEKDAY(DATE(Jahr,10,1),2)+1)+34)=10,(DATE(Jahr,10,1)-WEEKDAY(DATE(Jahr,10,1),2)+1)+34,"")</f>
        <v>46691</v>
      </c>
      <c r="J20" s="39"/>
    </row>
    <row r="21" spans="1:10" ht="27.95" customHeight="1" x14ac:dyDescent="0.25">
      <c r="A21" s="82"/>
      <c r="B21" s="40" t="str">
        <f t="shared" ref="B21:H21" si="4">IF(ISNUMBER(B20),IF(IFERROR(INDEX(FT_Name,MATCH(B20,Feiertage_aktiv,0)),"")="",IFERROR(INDEX(BT_Name,MATCH(B20,BT_Datum,0)),""),IF(IFERROR(INDEX(BT_Name,MATCH(B20,BT_Datum,0)),"")="",IFERROR(INDEX(FT_Name,MATCH(B20,Feiertage_aktiv,0)),""),IF(LEFT(IFERROR(INDEX(BT_Name,MATCH(B20,BT_Datum,0)),""),LEN(IFERROR(INDEX(FT_Name,MATCH(B20,Feiertage_aktiv,0)),"")))=IFERROR(INDEX(FT_Name,MATCH(B20,Feiertage_aktiv,0)),""),IFERROR(INDEX(BT_Name,MATCH(B20,BT_Datum,0)),""),IFERROR(INDEX(FT_Name,MATCH(B20,Feiertage_aktiv,0)),"")&amp;" · "&amp;IFERROR(INDEX(BT_Name,MATCH(B20,BT_Datum,0)),"")))),"")</f>
        <v/>
      </c>
      <c r="C21" s="40" t="str">
        <f t="shared" si="4"/>
        <v/>
      </c>
      <c r="D21" s="40" t="str">
        <f t="shared" si="4"/>
        <v/>
      </c>
      <c r="E21" s="40" t="str">
        <f t="shared" si="4"/>
        <v/>
      </c>
      <c r="F21" s="40" t="str">
        <f t="shared" si="4"/>
        <v/>
      </c>
      <c r="G21" s="41" t="str">
        <f t="shared" si="4"/>
        <v/>
      </c>
      <c r="H21" s="41" t="str">
        <f t="shared" si="4"/>
        <v>Ende Sommerzeit</v>
      </c>
      <c r="J21" s="39"/>
    </row>
    <row r="22" spans="1:10" ht="21.95" customHeight="1" x14ac:dyDescent="0.25">
      <c r="A22" s="82"/>
      <c r="B22" s="42"/>
      <c r="C22" s="42"/>
      <c r="D22" s="42"/>
      <c r="E22" s="42"/>
      <c r="F22" s="42"/>
      <c r="G22" s="43"/>
      <c r="H22" s="43"/>
      <c r="J22" s="39"/>
    </row>
    <row r="23" spans="1:10" ht="23.1" customHeight="1" x14ac:dyDescent="0.25">
      <c r="A23" s="83"/>
      <c r="B23" s="44"/>
      <c r="C23" s="44"/>
      <c r="D23" s="44"/>
      <c r="E23" s="44"/>
      <c r="F23" s="44"/>
      <c r="G23" s="45"/>
      <c r="H23" s="45"/>
      <c r="J23" s="46"/>
    </row>
    <row r="24" spans="1:10" ht="24.95" customHeight="1" x14ac:dyDescent="0.25">
      <c r="A24" s="81" t="str">
        <f>IF(OR(MONTH((DATE(Jahr,10,1)-WEEKDAY(DATE(Jahr,10,1),2)+1)+35)=10,MONTH((DATE(Jahr,10,1)-WEEKDAY(DATE(Jahr,10,1),2)+1)+35+6)=10),_xlfn.ISOWEEKNUM((DATE(Jahr,10,1)-WEEKDAY(DATE(Jahr,10,1),2)+1)+35),"")</f>
        <v/>
      </c>
      <c r="B24" s="37" t="str">
        <f>IF(MONTH((DATE(Jahr,10,1)-WEEKDAY(DATE(Jahr,10,1),2)+1)+35)=10,(DATE(Jahr,10,1)-WEEKDAY(DATE(Jahr,10,1),2)+1)+35,"")</f>
        <v/>
      </c>
      <c r="C24" s="37" t="str">
        <f>IF(MONTH((DATE(Jahr,10,1)-WEEKDAY(DATE(Jahr,10,1),2)+1)+36)=10,(DATE(Jahr,10,1)-WEEKDAY(DATE(Jahr,10,1),2)+1)+36,"")</f>
        <v/>
      </c>
      <c r="D24" s="37" t="str">
        <f>IF(MONTH((DATE(Jahr,10,1)-WEEKDAY(DATE(Jahr,10,1),2)+1)+37)=10,(DATE(Jahr,10,1)-WEEKDAY(DATE(Jahr,10,1),2)+1)+37,"")</f>
        <v/>
      </c>
      <c r="E24" s="37" t="str">
        <f>IF(MONTH((DATE(Jahr,10,1)-WEEKDAY(DATE(Jahr,10,1),2)+1)+38)=10,(DATE(Jahr,10,1)-WEEKDAY(DATE(Jahr,10,1),2)+1)+38,"")</f>
        <v/>
      </c>
      <c r="F24" s="37" t="str">
        <f>IF(MONTH((DATE(Jahr,10,1)-WEEKDAY(DATE(Jahr,10,1),2)+1)+39)=10,(DATE(Jahr,10,1)-WEEKDAY(DATE(Jahr,10,1),2)+1)+39,"")</f>
        <v/>
      </c>
      <c r="G24" s="38" t="str">
        <f>IF(MONTH((DATE(Jahr,10,1)-WEEKDAY(DATE(Jahr,10,1),2)+1)+40)=10,(DATE(Jahr,10,1)-WEEKDAY(DATE(Jahr,10,1),2)+1)+40,"")</f>
        <v/>
      </c>
      <c r="H24" s="38" t="str">
        <f>IF(MONTH((DATE(Jahr,10,1)-WEEKDAY(DATE(Jahr,10,1),2)+1)+41)=10,(DATE(Jahr,10,1)-WEEKDAY(DATE(Jahr,10,1),2)+1)+41,"")</f>
        <v/>
      </c>
      <c r="J24" s="39"/>
    </row>
    <row r="25" spans="1:10" ht="27.95" customHeight="1" x14ac:dyDescent="0.25">
      <c r="A25" s="82"/>
      <c r="B25" s="40" t="str">
        <f t="shared" ref="B25:H25" si="5">IF(ISNUMBER(B24),IF(IFERROR(INDEX(FT_Name,MATCH(B24,Feiertage_aktiv,0)),"")="",IFERROR(INDEX(BT_Name,MATCH(B24,BT_Datum,0)),""),IF(IFERROR(INDEX(BT_Name,MATCH(B24,BT_Datum,0)),"")="",IFERROR(INDEX(FT_Name,MATCH(B24,Feiertage_aktiv,0)),""),IF(LEFT(IFERROR(INDEX(BT_Name,MATCH(B24,BT_Datum,0)),""),LEN(IFERROR(INDEX(FT_Name,MATCH(B24,Feiertage_aktiv,0)),"")))=IFERROR(INDEX(FT_Name,MATCH(B24,Feiertage_aktiv,0)),""),IFERROR(INDEX(BT_Name,MATCH(B24,BT_Datum,0)),""),IFERROR(INDEX(FT_Name,MATCH(B24,Feiertage_aktiv,0)),"")&amp;" · "&amp;IFERROR(INDEX(BT_Name,MATCH(B24,BT_Datum,0)),"")))),"")</f>
        <v/>
      </c>
      <c r="C25" s="40" t="str">
        <f t="shared" si="5"/>
        <v/>
      </c>
      <c r="D25" s="40" t="str">
        <f t="shared" si="5"/>
        <v/>
      </c>
      <c r="E25" s="40" t="str">
        <f t="shared" si="5"/>
        <v/>
      </c>
      <c r="F25" s="40" t="str">
        <f t="shared" si="5"/>
        <v/>
      </c>
      <c r="G25" s="41" t="str">
        <f t="shared" si="5"/>
        <v/>
      </c>
      <c r="H25" s="41" t="str">
        <f t="shared" si="5"/>
        <v/>
      </c>
      <c r="J25" s="39"/>
    </row>
    <row r="26" spans="1:10" ht="21.95" customHeight="1" x14ac:dyDescent="0.25">
      <c r="A26" s="82"/>
      <c r="B26" s="42"/>
      <c r="C26" s="42"/>
      <c r="D26" s="42"/>
      <c r="E26" s="42"/>
      <c r="F26" s="42"/>
      <c r="G26" s="43"/>
      <c r="H26" s="43"/>
      <c r="J26" s="39"/>
    </row>
    <row r="27" spans="1:10" ht="23.1" customHeight="1" x14ac:dyDescent="0.25">
      <c r="A27" s="83"/>
      <c r="B27" s="44"/>
      <c r="C27" s="44"/>
      <c r="D27" s="44"/>
      <c r="E27" s="44"/>
      <c r="F27" s="44"/>
      <c r="G27" s="45"/>
      <c r="H27" s="45"/>
      <c r="J27" s="46"/>
    </row>
    <row r="28" spans="1:10" ht="15.95" customHeight="1" x14ac:dyDescent="0.25">
      <c r="A28" s="47" t="str">
        <f>"Rot: gesetzlicher Feiertag in "&amp;Bundesland&amp;". Grau: besondere Tage ohne Feiertag. Jahr und Bundesland ändern Sie im Blatt Jahreskalender."</f>
        <v>Rot: gesetzlicher Feiertag in Nordrhein-Westfalen. Grau: besondere Tage ohne Feiertag. Jahr und Bundesland ändern Sie im Blatt Jahreskalender.</v>
      </c>
    </row>
  </sheetData>
  <mergeCells count="6">
    <mergeCell ref="A4:A7"/>
    <mergeCell ref="A8:A11"/>
    <mergeCell ref="A12:A15"/>
    <mergeCell ref="A20:A23"/>
    <mergeCell ref="A24:A27"/>
    <mergeCell ref="A16:A19"/>
  </mergeCells>
  <conditionalFormatting sqref="B4:H7">
    <cfRule type="expression" dxfId="40" priority="1" stopIfTrue="1">
      <formula>B$4=""</formula>
    </cfRule>
    <cfRule type="expression" dxfId="39" priority="2">
      <formula>AND(ISNUMBER(B$4),COUNTIF(Feiertage_aktiv,B$4)&gt;0)</formula>
    </cfRule>
  </conditionalFormatting>
  <conditionalFormatting sqref="B8:H11">
    <cfRule type="expression" dxfId="38" priority="3" stopIfTrue="1">
      <formula>B$8=""</formula>
    </cfRule>
    <cfRule type="expression" dxfId="37" priority="4">
      <formula>AND(ISNUMBER(B$8),COUNTIF(Feiertage_aktiv,B$8)&gt;0)</formula>
    </cfRule>
  </conditionalFormatting>
  <conditionalFormatting sqref="B12:H15">
    <cfRule type="expression" dxfId="36" priority="5" stopIfTrue="1">
      <formula>B$12=""</formula>
    </cfRule>
    <cfRule type="expression" dxfId="35" priority="6">
      <formula>AND(ISNUMBER(B$12),COUNTIF(Feiertage_aktiv,B$12)&gt;0)</formula>
    </cfRule>
  </conditionalFormatting>
  <conditionalFormatting sqref="B16:H19">
    <cfRule type="expression" dxfId="34" priority="7" stopIfTrue="1">
      <formula>B$16=""</formula>
    </cfRule>
    <cfRule type="expression" dxfId="33" priority="8">
      <formula>AND(ISNUMBER(B$16),COUNTIF(Feiertage_aktiv,B$16)&gt;0)</formula>
    </cfRule>
  </conditionalFormatting>
  <conditionalFormatting sqref="B20:H23">
    <cfRule type="expression" dxfId="32" priority="9" stopIfTrue="1">
      <formula>B$20=""</formula>
    </cfRule>
    <cfRule type="expression" dxfId="31" priority="10">
      <formula>AND(ISNUMBER(B$20),COUNTIF(Feiertage_aktiv,B$20)&gt;0)</formula>
    </cfRule>
  </conditionalFormatting>
  <conditionalFormatting sqref="B24:H27">
    <cfRule type="expression" dxfId="30" priority="11" stopIfTrue="1">
      <formula>B$24=""</formula>
    </cfRule>
    <cfRule type="expression" dxfId="29" priority="12">
      <formula>AND(ISNUMBER(B$24),COUNTIF(Feiertage_aktiv,B$24)&gt;0)</formula>
    </cfRule>
  </conditionalFormatting>
  <printOptions horizontalCentered="1"/>
  <pageMargins left="0.4" right="0.4" top="0.45" bottom="0.55000000000000004" header="0.2" footer="0.25"/>
  <pageSetup paperSize="9" orientation="landscape"/>
  <headerFooter>
    <oddFooter>&amp;C&amp;8 &amp;K686E70Vorlage von seminaron.de&amp;R&amp;8 &amp;K686E70&amp;A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8"/>
  <sheetViews>
    <sheetView showGridLines="0" zoomScale="85" workbookViewId="0"/>
  </sheetViews>
  <sheetFormatPr baseColWidth="10" defaultColWidth="9.140625" defaultRowHeight="15" x14ac:dyDescent="0.25"/>
  <cols>
    <col min="1" max="1" width="5.42578125" customWidth="1"/>
    <col min="2" max="8" width="19.42578125" customWidth="1"/>
    <col min="9" max="9" width="1.42578125" customWidth="1"/>
    <col min="10" max="10" width="30" customWidth="1"/>
  </cols>
  <sheetData>
    <row r="1" spans="1:10" ht="36" customHeight="1" x14ac:dyDescent="0.25">
      <c r="A1" s="34" t="str">
        <f>"November "&amp;Jahr</f>
        <v>November 2027</v>
      </c>
    </row>
    <row r="2" spans="1:10" ht="18" customHeight="1" x14ac:dyDescent="0.25">
      <c r="A2" s="20" t="str">
        <f>"Feiertage: "&amp;Bundesland&amp;" · Arbeitstage Montag bis Freitag: "&amp;NETWORKDAYS(DATE(Jahr,11,1),DATE(Jahr,12,0),Feiertage_aktiv)</f>
        <v>Feiertage: Nordrhein-Westfalen · Arbeitstage Montag bis Freitag: 21</v>
      </c>
    </row>
    <row r="3" spans="1:10" ht="21" customHeight="1" x14ac:dyDescent="0.25">
      <c r="A3" s="35" t="s">
        <v>7</v>
      </c>
      <c r="B3" s="35" t="s">
        <v>56</v>
      </c>
      <c r="C3" s="35" t="s">
        <v>57</v>
      </c>
      <c r="D3" s="35" t="s">
        <v>58</v>
      </c>
      <c r="E3" s="35" t="s">
        <v>59</v>
      </c>
      <c r="F3" s="35" t="s">
        <v>60</v>
      </c>
      <c r="G3" s="36" t="s">
        <v>61</v>
      </c>
      <c r="H3" s="36" t="s">
        <v>62</v>
      </c>
      <c r="J3" s="35" t="s">
        <v>63</v>
      </c>
    </row>
    <row r="4" spans="1:10" ht="24.95" customHeight="1" x14ac:dyDescent="0.25">
      <c r="A4" s="81">
        <f>IF(OR(MONTH((DATE(Jahr,11,1)-WEEKDAY(DATE(Jahr,11,1),2)+1)+0)=11,MONTH((DATE(Jahr,11,1)-WEEKDAY(DATE(Jahr,11,1),2)+1)+0+6)=11),_xlfn.ISOWEEKNUM((DATE(Jahr,11,1)-WEEKDAY(DATE(Jahr,11,1),2)+1)+0),"")</f>
        <v>44</v>
      </c>
      <c r="B4" s="37">
        <f>IF(MONTH((DATE(Jahr,11,1)-WEEKDAY(DATE(Jahr,11,1),2)+1)+0)=11,(DATE(Jahr,11,1)-WEEKDAY(DATE(Jahr,11,1),2)+1)+0,"")</f>
        <v>46692</v>
      </c>
      <c r="C4" s="37">
        <f>IF(MONTH((DATE(Jahr,11,1)-WEEKDAY(DATE(Jahr,11,1),2)+1)+1)=11,(DATE(Jahr,11,1)-WEEKDAY(DATE(Jahr,11,1),2)+1)+1,"")</f>
        <v>46693</v>
      </c>
      <c r="D4" s="37">
        <f>IF(MONTH((DATE(Jahr,11,1)-WEEKDAY(DATE(Jahr,11,1),2)+1)+2)=11,(DATE(Jahr,11,1)-WEEKDAY(DATE(Jahr,11,1),2)+1)+2,"")</f>
        <v>46694</v>
      </c>
      <c r="E4" s="37">
        <f>IF(MONTH((DATE(Jahr,11,1)-WEEKDAY(DATE(Jahr,11,1),2)+1)+3)=11,(DATE(Jahr,11,1)-WEEKDAY(DATE(Jahr,11,1),2)+1)+3,"")</f>
        <v>46695</v>
      </c>
      <c r="F4" s="37">
        <f>IF(MONTH((DATE(Jahr,11,1)-WEEKDAY(DATE(Jahr,11,1),2)+1)+4)=11,(DATE(Jahr,11,1)-WEEKDAY(DATE(Jahr,11,1),2)+1)+4,"")</f>
        <v>46696</v>
      </c>
      <c r="G4" s="38">
        <f>IF(MONTH((DATE(Jahr,11,1)-WEEKDAY(DATE(Jahr,11,1),2)+1)+5)=11,(DATE(Jahr,11,1)-WEEKDAY(DATE(Jahr,11,1),2)+1)+5,"")</f>
        <v>46697</v>
      </c>
      <c r="H4" s="38">
        <f>IF(MONTH((DATE(Jahr,11,1)-WEEKDAY(DATE(Jahr,11,1),2)+1)+6)=11,(DATE(Jahr,11,1)-WEEKDAY(DATE(Jahr,11,1),2)+1)+6,"")</f>
        <v>46698</v>
      </c>
      <c r="J4" s="39"/>
    </row>
    <row r="5" spans="1:10" ht="27.95" customHeight="1" x14ac:dyDescent="0.25">
      <c r="A5" s="82"/>
      <c r="B5" s="40" t="str">
        <f t="shared" ref="B5:H5" si="0">IF(ISNUMBER(B4),IF(IFERROR(INDEX(FT_Name,MATCH(B4,Feiertage_aktiv,0)),"")="",IFERROR(INDEX(BT_Name,MATCH(B4,BT_Datum,0)),""),IF(IFERROR(INDEX(BT_Name,MATCH(B4,BT_Datum,0)),"")="",IFERROR(INDEX(FT_Name,MATCH(B4,Feiertage_aktiv,0)),""),IF(LEFT(IFERROR(INDEX(BT_Name,MATCH(B4,BT_Datum,0)),""),LEN(IFERROR(INDEX(FT_Name,MATCH(B4,Feiertage_aktiv,0)),"")))=IFERROR(INDEX(FT_Name,MATCH(B4,Feiertage_aktiv,0)),""),IFERROR(INDEX(BT_Name,MATCH(B4,BT_Datum,0)),""),IFERROR(INDEX(FT_Name,MATCH(B4,Feiertage_aktiv,0)),"")&amp;" · "&amp;IFERROR(INDEX(BT_Name,MATCH(B4,BT_Datum,0)),"")))),"")</f>
        <v>Allerheiligen</v>
      </c>
      <c r="C5" s="40" t="str">
        <f t="shared" si="0"/>
        <v/>
      </c>
      <c r="D5" s="40" t="str">
        <f t="shared" si="0"/>
        <v/>
      </c>
      <c r="E5" s="40" t="str">
        <f t="shared" si="0"/>
        <v/>
      </c>
      <c r="F5" s="40" t="str">
        <f t="shared" si="0"/>
        <v/>
      </c>
      <c r="G5" s="41" t="str">
        <f t="shared" si="0"/>
        <v/>
      </c>
      <c r="H5" s="41" t="str">
        <f t="shared" si="0"/>
        <v/>
      </c>
      <c r="J5" s="39"/>
    </row>
    <row r="6" spans="1:10" ht="21.95" customHeight="1" x14ac:dyDescent="0.25">
      <c r="A6" s="82"/>
      <c r="B6" s="42"/>
      <c r="C6" s="42"/>
      <c r="D6" s="42"/>
      <c r="E6" s="42"/>
      <c r="F6" s="42"/>
      <c r="G6" s="43"/>
      <c r="H6" s="43"/>
      <c r="J6" s="39"/>
    </row>
    <row r="7" spans="1:10" ht="23.1" customHeight="1" x14ac:dyDescent="0.25">
      <c r="A7" s="83"/>
      <c r="B7" s="44"/>
      <c r="C7" s="44"/>
      <c r="D7" s="44"/>
      <c r="E7" s="44"/>
      <c r="F7" s="44"/>
      <c r="G7" s="45"/>
      <c r="H7" s="45"/>
      <c r="J7" s="46"/>
    </row>
    <row r="8" spans="1:10" ht="24.95" customHeight="1" x14ac:dyDescent="0.25">
      <c r="A8" s="81">
        <f>IF(OR(MONTH((DATE(Jahr,11,1)-WEEKDAY(DATE(Jahr,11,1),2)+1)+7)=11,MONTH((DATE(Jahr,11,1)-WEEKDAY(DATE(Jahr,11,1),2)+1)+7+6)=11),_xlfn.ISOWEEKNUM((DATE(Jahr,11,1)-WEEKDAY(DATE(Jahr,11,1),2)+1)+7),"")</f>
        <v>45</v>
      </c>
      <c r="B8" s="37">
        <f>IF(MONTH((DATE(Jahr,11,1)-WEEKDAY(DATE(Jahr,11,1),2)+1)+7)=11,(DATE(Jahr,11,1)-WEEKDAY(DATE(Jahr,11,1),2)+1)+7,"")</f>
        <v>46699</v>
      </c>
      <c r="C8" s="37">
        <f>IF(MONTH((DATE(Jahr,11,1)-WEEKDAY(DATE(Jahr,11,1),2)+1)+8)=11,(DATE(Jahr,11,1)-WEEKDAY(DATE(Jahr,11,1),2)+1)+8,"")</f>
        <v>46700</v>
      </c>
      <c r="D8" s="37">
        <f>IF(MONTH((DATE(Jahr,11,1)-WEEKDAY(DATE(Jahr,11,1),2)+1)+9)=11,(DATE(Jahr,11,1)-WEEKDAY(DATE(Jahr,11,1),2)+1)+9,"")</f>
        <v>46701</v>
      </c>
      <c r="E8" s="37">
        <f>IF(MONTH((DATE(Jahr,11,1)-WEEKDAY(DATE(Jahr,11,1),2)+1)+10)=11,(DATE(Jahr,11,1)-WEEKDAY(DATE(Jahr,11,1),2)+1)+10,"")</f>
        <v>46702</v>
      </c>
      <c r="F8" s="37">
        <f>IF(MONTH((DATE(Jahr,11,1)-WEEKDAY(DATE(Jahr,11,1),2)+1)+11)=11,(DATE(Jahr,11,1)-WEEKDAY(DATE(Jahr,11,1),2)+1)+11,"")</f>
        <v>46703</v>
      </c>
      <c r="G8" s="38">
        <f>IF(MONTH((DATE(Jahr,11,1)-WEEKDAY(DATE(Jahr,11,1),2)+1)+12)=11,(DATE(Jahr,11,1)-WEEKDAY(DATE(Jahr,11,1),2)+1)+12,"")</f>
        <v>46704</v>
      </c>
      <c r="H8" s="38">
        <f>IF(MONTH((DATE(Jahr,11,1)-WEEKDAY(DATE(Jahr,11,1),2)+1)+13)=11,(DATE(Jahr,11,1)-WEEKDAY(DATE(Jahr,11,1),2)+1)+13,"")</f>
        <v>46705</v>
      </c>
      <c r="J8" s="39"/>
    </row>
    <row r="9" spans="1:10" ht="27.95" customHeight="1" x14ac:dyDescent="0.25">
      <c r="A9" s="82"/>
      <c r="B9" s="40" t="str">
        <f t="shared" ref="B9:H9" si="1">IF(ISNUMBER(B8),IF(IFERROR(INDEX(FT_Name,MATCH(B8,Feiertage_aktiv,0)),"")="",IFERROR(INDEX(BT_Name,MATCH(B8,BT_Datum,0)),""),IF(IFERROR(INDEX(BT_Name,MATCH(B8,BT_Datum,0)),"")="",IFERROR(INDEX(FT_Name,MATCH(B8,Feiertage_aktiv,0)),""),IF(LEFT(IFERROR(INDEX(BT_Name,MATCH(B8,BT_Datum,0)),""),LEN(IFERROR(INDEX(FT_Name,MATCH(B8,Feiertage_aktiv,0)),"")))=IFERROR(INDEX(FT_Name,MATCH(B8,Feiertage_aktiv,0)),""),IFERROR(INDEX(BT_Name,MATCH(B8,BT_Datum,0)),""),IFERROR(INDEX(FT_Name,MATCH(B8,Feiertage_aktiv,0)),"")&amp;" · "&amp;IFERROR(INDEX(BT_Name,MATCH(B8,BT_Datum,0)),"")))),"")</f>
        <v/>
      </c>
      <c r="C9" s="40" t="str">
        <f t="shared" si="1"/>
        <v/>
      </c>
      <c r="D9" s="40" t="str">
        <f t="shared" si="1"/>
        <v/>
      </c>
      <c r="E9" s="40" t="str">
        <f t="shared" si="1"/>
        <v/>
      </c>
      <c r="F9" s="40" t="str">
        <f t="shared" si="1"/>
        <v/>
      </c>
      <c r="G9" s="41" t="str">
        <f t="shared" si="1"/>
        <v/>
      </c>
      <c r="H9" s="41" t="str">
        <f t="shared" si="1"/>
        <v/>
      </c>
      <c r="J9" s="39"/>
    </row>
    <row r="10" spans="1:10" ht="21.95" customHeight="1" x14ac:dyDescent="0.25">
      <c r="A10" s="82"/>
      <c r="B10" s="42"/>
      <c r="C10" s="42"/>
      <c r="D10" s="42"/>
      <c r="E10" s="42"/>
      <c r="F10" s="42"/>
      <c r="G10" s="43"/>
      <c r="H10" s="43"/>
      <c r="J10" s="39"/>
    </row>
    <row r="11" spans="1:10" ht="23.1" customHeight="1" x14ac:dyDescent="0.25">
      <c r="A11" s="83"/>
      <c r="B11" s="44"/>
      <c r="C11" s="44"/>
      <c r="D11" s="44"/>
      <c r="E11" s="44"/>
      <c r="F11" s="44"/>
      <c r="G11" s="45"/>
      <c r="H11" s="45"/>
      <c r="J11" s="46"/>
    </row>
    <row r="12" spans="1:10" ht="24.95" customHeight="1" x14ac:dyDescent="0.25">
      <c r="A12" s="81">
        <f>IF(OR(MONTH((DATE(Jahr,11,1)-WEEKDAY(DATE(Jahr,11,1),2)+1)+14)=11,MONTH((DATE(Jahr,11,1)-WEEKDAY(DATE(Jahr,11,1),2)+1)+14+6)=11),_xlfn.ISOWEEKNUM((DATE(Jahr,11,1)-WEEKDAY(DATE(Jahr,11,1),2)+1)+14),"")</f>
        <v>46</v>
      </c>
      <c r="B12" s="37">
        <f>IF(MONTH((DATE(Jahr,11,1)-WEEKDAY(DATE(Jahr,11,1),2)+1)+14)=11,(DATE(Jahr,11,1)-WEEKDAY(DATE(Jahr,11,1),2)+1)+14,"")</f>
        <v>46706</v>
      </c>
      <c r="C12" s="37">
        <f>IF(MONTH((DATE(Jahr,11,1)-WEEKDAY(DATE(Jahr,11,1),2)+1)+15)=11,(DATE(Jahr,11,1)-WEEKDAY(DATE(Jahr,11,1),2)+1)+15,"")</f>
        <v>46707</v>
      </c>
      <c r="D12" s="37">
        <f>IF(MONTH((DATE(Jahr,11,1)-WEEKDAY(DATE(Jahr,11,1),2)+1)+16)=11,(DATE(Jahr,11,1)-WEEKDAY(DATE(Jahr,11,1),2)+1)+16,"")</f>
        <v>46708</v>
      </c>
      <c r="E12" s="37">
        <f>IF(MONTH((DATE(Jahr,11,1)-WEEKDAY(DATE(Jahr,11,1),2)+1)+17)=11,(DATE(Jahr,11,1)-WEEKDAY(DATE(Jahr,11,1),2)+1)+17,"")</f>
        <v>46709</v>
      </c>
      <c r="F12" s="37">
        <f>IF(MONTH((DATE(Jahr,11,1)-WEEKDAY(DATE(Jahr,11,1),2)+1)+18)=11,(DATE(Jahr,11,1)-WEEKDAY(DATE(Jahr,11,1),2)+1)+18,"")</f>
        <v>46710</v>
      </c>
      <c r="G12" s="38">
        <f>IF(MONTH((DATE(Jahr,11,1)-WEEKDAY(DATE(Jahr,11,1),2)+1)+19)=11,(DATE(Jahr,11,1)-WEEKDAY(DATE(Jahr,11,1),2)+1)+19,"")</f>
        <v>46711</v>
      </c>
      <c r="H12" s="38">
        <f>IF(MONTH((DATE(Jahr,11,1)-WEEKDAY(DATE(Jahr,11,1),2)+1)+20)=11,(DATE(Jahr,11,1)-WEEKDAY(DATE(Jahr,11,1),2)+1)+20,"")</f>
        <v>46712</v>
      </c>
      <c r="J12" s="39"/>
    </row>
    <row r="13" spans="1:10" ht="27.95" customHeight="1" x14ac:dyDescent="0.25">
      <c r="A13" s="82"/>
      <c r="B13" s="40" t="str">
        <f t="shared" ref="B13:H13" si="2">IF(ISNUMBER(B12),IF(IFERROR(INDEX(FT_Name,MATCH(B12,Feiertage_aktiv,0)),"")="",IFERROR(INDEX(BT_Name,MATCH(B12,BT_Datum,0)),""),IF(IFERROR(INDEX(BT_Name,MATCH(B12,BT_Datum,0)),"")="",IFERROR(INDEX(FT_Name,MATCH(B12,Feiertage_aktiv,0)),""),IF(LEFT(IFERROR(INDEX(BT_Name,MATCH(B12,BT_Datum,0)),""),LEN(IFERROR(INDEX(FT_Name,MATCH(B12,Feiertage_aktiv,0)),"")))=IFERROR(INDEX(FT_Name,MATCH(B12,Feiertage_aktiv,0)),""),IFERROR(INDEX(BT_Name,MATCH(B12,BT_Datum,0)),""),IFERROR(INDEX(FT_Name,MATCH(B12,Feiertage_aktiv,0)),"")&amp;" · "&amp;IFERROR(INDEX(BT_Name,MATCH(B12,BT_Datum,0)),"")))),"")</f>
        <v/>
      </c>
      <c r="C13" s="40" t="str">
        <f t="shared" si="2"/>
        <v/>
      </c>
      <c r="D13" s="40" t="str">
        <f t="shared" si="2"/>
        <v/>
      </c>
      <c r="E13" s="40" t="str">
        <f t="shared" si="2"/>
        <v/>
      </c>
      <c r="F13" s="40" t="str">
        <f t="shared" si="2"/>
        <v/>
      </c>
      <c r="G13" s="41" t="str">
        <f t="shared" si="2"/>
        <v/>
      </c>
      <c r="H13" s="41" t="str">
        <f t="shared" si="2"/>
        <v/>
      </c>
      <c r="J13" s="39"/>
    </row>
    <row r="14" spans="1:10" ht="21.95" customHeight="1" x14ac:dyDescent="0.25">
      <c r="A14" s="82"/>
      <c r="B14" s="42"/>
      <c r="C14" s="42"/>
      <c r="D14" s="42"/>
      <c r="E14" s="42"/>
      <c r="F14" s="42"/>
      <c r="G14" s="43"/>
      <c r="H14" s="43"/>
      <c r="J14" s="39"/>
    </row>
    <row r="15" spans="1:10" ht="23.1" customHeight="1" x14ac:dyDescent="0.25">
      <c r="A15" s="83"/>
      <c r="B15" s="44"/>
      <c r="C15" s="44"/>
      <c r="D15" s="44"/>
      <c r="E15" s="44"/>
      <c r="F15" s="44"/>
      <c r="G15" s="45"/>
      <c r="H15" s="45"/>
      <c r="J15" s="46"/>
    </row>
    <row r="16" spans="1:10" ht="24.95" customHeight="1" x14ac:dyDescent="0.25">
      <c r="A16" s="81">
        <f>IF(OR(MONTH((DATE(Jahr,11,1)-WEEKDAY(DATE(Jahr,11,1),2)+1)+21)=11,MONTH((DATE(Jahr,11,1)-WEEKDAY(DATE(Jahr,11,1),2)+1)+21+6)=11),_xlfn.ISOWEEKNUM((DATE(Jahr,11,1)-WEEKDAY(DATE(Jahr,11,1),2)+1)+21),"")</f>
        <v>47</v>
      </c>
      <c r="B16" s="37">
        <f>IF(MONTH((DATE(Jahr,11,1)-WEEKDAY(DATE(Jahr,11,1),2)+1)+21)=11,(DATE(Jahr,11,1)-WEEKDAY(DATE(Jahr,11,1),2)+1)+21,"")</f>
        <v>46713</v>
      </c>
      <c r="C16" s="37">
        <f>IF(MONTH((DATE(Jahr,11,1)-WEEKDAY(DATE(Jahr,11,1),2)+1)+22)=11,(DATE(Jahr,11,1)-WEEKDAY(DATE(Jahr,11,1),2)+1)+22,"")</f>
        <v>46714</v>
      </c>
      <c r="D16" s="37">
        <f>IF(MONTH((DATE(Jahr,11,1)-WEEKDAY(DATE(Jahr,11,1),2)+1)+23)=11,(DATE(Jahr,11,1)-WEEKDAY(DATE(Jahr,11,1),2)+1)+23,"")</f>
        <v>46715</v>
      </c>
      <c r="E16" s="37">
        <f>IF(MONTH((DATE(Jahr,11,1)-WEEKDAY(DATE(Jahr,11,1),2)+1)+24)=11,(DATE(Jahr,11,1)-WEEKDAY(DATE(Jahr,11,1),2)+1)+24,"")</f>
        <v>46716</v>
      </c>
      <c r="F16" s="37">
        <f>IF(MONTH((DATE(Jahr,11,1)-WEEKDAY(DATE(Jahr,11,1),2)+1)+25)=11,(DATE(Jahr,11,1)-WEEKDAY(DATE(Jahr,11,1),2)+1)+25,"")</f>
        <v>46717</v>
      </c>
      <c r="G16" s="38">
        <f>IF(MONTH((DATE(Jahr,11,1)-WEEKDAY(DATE(Jahr,11,1),2)+1)+26)=11,(DATE(Jahr,11,1)-WEEKDAY(DATE(Jahr,11,1),2)+1)+26,"")</f>
        <v>46718</v>
      </c>
      <c r="H16" s="38">
        <f>IF(MONTH((DATE(Jahr,11,1)-WEEKDAY(DATE(Jahr,11,1),2)+1)+27)=11,(DATE(Jahr,11,1)-WEEKDAY(DATE(Jahr,11,1),2)+1)+27,"")</f>
        <v>46719</v>
      </c>
      <c r="J16" s="39"/>
    </row>
    <row r="17" spans="1:10" ht="27.95" customHeight="1" x14ac:dyDescent="0.25">
      <c r="A17" s="82"/>
      <c r="B17" s="40" t="str">
        <f t="shared" ref="B17:H17" si="3">IF(ISNUMBER(B16),IF(IFERROR(INDEX(FT_Name,MATCH(B16,Feiertage_aktiv,0)),"")="",IFERROR(INDEX(BT_Name,MATCH(B16,BT_Datum,0)),""),IF(IFERROR(INDEX(BT_Name,MATCH(B16,BT_Datum,0)),"")="",IFERROR(INDEX(FT_Name,MATCH(B16,Feiertage_aktiv,0)),""),IF(LEFT(IFERROR(INDEX(BT_Name,MATCH(B16,BT_Datum,0)),""),LEN(IFERROR(INDEX(FT_Name,MATCH(B16,Feiertage_aktiv,0)),"")))=IFERROR(INDEX(FT_Name,MATCH(B16,Feiertage_aktiv,0)),""),IFERROR(INDEX(BT_Name,MATCH(B16,BT_Datum,0)),""),IFERROR(INDEX(FT_Name,MATCH(B16,Feiertage_aktiv,0)),"")&amp;" · "&amp;IFERROR(INDEX(BT_Name,MATCH(B16,BT_Datum,0)),"")))),"")</f>
        <v/>
      </c>
      <c r="C17" s="40" t="str">
        <f t="shared" si="3"/>
        <v/>
      </c>
      <c r="D17" s="40" t="str">
        <f t="shared" si="3"/>
        <v/>
      </c>
      <c r="E17" s="40" t="str">
        <f t="shared" si="3"/>
        <v/>
      </c>
      <c r="F17" s="40" t="str">
        <f t="shared" si="3"/>
        <v/>
      </c>
      <c r="G17" s="41" t="str">
        <f t="shared" si="3"/>
        <v/>
      </c>
      <c r="H17" s="41" t="str">
        <f t="shared" si="3"/>
        <v>1. Advent</v>
      </c>
      <c r="J17" s="39"/>
    </row>
    <row r="18" spans="1:10" ht="21.95" customHeight="1" x14ac:dyDescent="0.25">
      <c r="A18" s="82"/>
      <c r="B18" s="42"/>
      <c r="C18" s="42"/>
      <c r="D18" s="42"/>
      <c r="E18" s="42"/>
      <c r="F18" s="42"/>
      <c r="G18" s="43"/>
      <c r="H18" s="43"/>
      <c r="J18" s="39"/>
    </row>
    <row r="19" spans="1:10" ht="23.1" customHeight="1" x14ac:dyDescent="0.25">
      <c r="A19" s="83"/>
      <c r="B19" s="44"/>
      <c r="C19" s="44"/>
      <c r="D19" s="44"/>
      <c r="E19" s="44"/>
      <c r="F19" s="44"/>
      <c r="G19" s="45"/>
      <c r="H19" s="45"/>
      <c r="J19" s="46"/>
    </row>
    <row r="20" spans="1:10" ht="24.95" customHeight="1" x14ac:dyDescent="0.25">
      <c r="A20" s="81">
        <f>IF(OR(MONTH((DATE(Jahr,11,1)-WEEKDAY(DATE(Jahr,11,1),2)+1)+28)=11,MONTH((DATE(Jahr,11,1)-WEEKDAY(DATE(Jahr,11,1),2)+1)+28+6)=11),_xlfn.ISOWEEKNUM((DATE(Jahr,11,1)-WEEKDAY(DATE(Jahr,11,1),2)+1)+28),"")</f>
        <v>48</v>
      </c>
      <c r="B20" s="37">
        <f>IF(MONTH((DATE(Jahr,11,1)-WEEKDAY(DATE(Jahr,11,1),2)+1)+28)=11,(DATE(Jahr,11,1)-WEEKDAY(DATE(Jahr,11,1),2)+1)+28,"")</f>
        <v>46720</v>
      </c>
      <c r="C20" s="37">
        <f>IF(MONTH((DATE(Jahr,11,1)-WEEKDAY(DATE(Jahr,11,1),2)+1)+29)=11,(DATE(Jahr,11,1)-WEEKDAY(DATE(Jahr,11,1),2)+1)+29,"")</f>
        <v>46721</v>
      </c>
      <c r="D20" s="37" t="str">
        <f>IF(MONTH((DATE(Jahr,11,1)-WEEKDAY(DATE(Jahr,11,1),2)+1)+30)=11,(DATE(Jahr,11,1)-WEEKDAY(DATE(Jahr,11,1),2)+1)+30,"")</f>
        <v/>
      </c>
      <c r="E20" s="37" t="str">
        <f>IF(MONTH((DATE(Jahr,11,1)-WEEKDAY(DATE(Jahr,11,1),2)+1)+31)=11,(DATE(Jahr,11,1)-WEEKDAY(DATE(Jahr,11,1),2)+1)+31,"")</f>
        <v/>
      </c>
      <c r="F20" s="37" t="str">
        <f>IF(MONTH((DATE(Jahr,11,1)-WEEKDAY(DATE(Jahr,11,1),2)+1)+32)=11,(DATE(Jahr,11,1)-WEEKDAY(DATE(Jahr,11,1),2)+1)+32,"")</f>
        <v/>
      </c>
      <c r="G20" s="38" t="str">
        <f>IF(MONTH((DATE(Jahr,11,1)-WEEKDAY(DATE(Jahr,11,1),2)+1)+33)=11,(DATE(Jahr,11,1)-WEEKDAY(DATE(Jahr,11,1),2)+1)+33,"")</f>
        <v/>
      </c>
      <c r="H20" s="38" t="str">
        <f>IF(MONTH((DATE(Jahr,11,1)-WEEKDAY(DATE(Jahr,11,1),2)+1)+34)=11,(DATE(Jahr,11,1)-WEEKDAY(DATE(Jahr,11,1),2)+1)+34,"")</f>
        <v/>
      </c>
      <c r="J20" s="39"/>
    </row>
    <row r="21" spans="1:10" ht="27.95" customHeight="1" x14ac:dyDescent="0.25">
      <c r="A21" s="82"/>
      <c r="B21" s="40" t="str">
        <f t="shared" ref="B21:H21" si="4">IF(ISNUMBER(B20),IF(IFERROR(INDEX(FT_Name,MATCH(B20,Feiertage_aktiv,0)),"")="",IFERROR(INDEX(BT_Name,MATCH(B20,BT_Datum,0)),""),IF(IFERROR(INDEX(BT_Name,MATCH(B20,BT_Datum,0)),"")="",IFERROR(INDEX(FT_Name,MATCH(B20,Feiertage_aktiv,0)),""),IF(LEFT(IFERROR(INDEX(BT_Name,MATCH(B20,BT_Datum,0)),""),LEN(IFERROR(INDEX(FT_Name,MATCH(B20,Feiertage_aktiv,0)),"")))=IFERROR(INDEX(FT_Name,MATCH(B20,Feiertage_aktiv,0)),""),IFERROR(INDEX(BT_Name,MATCH(B20,BT_Datum,0)),""),IFERROR(INDEX(FT_Name,MATCH(B20,Feiertage_aktiv,0)),"")&amp;" · "&amp;IFERROR(INDEX(BT_Name,MATCH(B20,BT_Datum,0)),"")))),"")</f>
        <v/>
      </c>
      <c r="C21" s="40" t="str">
        <f t="shared" si="4"/>
        <v/>
      </c>
      <c r="D21" s="40" t="str">
        <f t="shared" si="4"/>
        <v/>
      </c>
      <c r="E21" s="40" t="str">
        <f t="shared" si="4"/>
        <v/>
      </c>
      <c r="F21" s="40" t="str">
        <f t="shared" si="4"/>
        <v/>
      </c>
      <c r="G21" s="41" t="str">
        <f t="shared" si="4"/>
        <v/>
      </c>
      <c r="H21" s="41" t="str">
        <f t="shared" si="4"/>
        <v/>
      </c>
      <c r="J21" s="39"/>
    </row>
    <row r="22" spans="1:10" ht="21.95" customHeight="1" x14ac:dyDescent="0.25">
      <c r="A22" s="82"/>
      <c r="B22" s="42"/>
      <c r="C22" s="42"/>
      <c r="D22" s="42"/>
      <c r="E22" s="42"/>
      <c r="F22" s="42"/>
      <c r="G22" s="43"/>
      <c r="H22" s="43"/>
      <c r="J22" s="39"/>
    </row>
    <row r="23" spans="1:10" ht="23.1" customHeight="1" x14ac:dyDescent="0.25">
      <c r="A23" s="83"/>
      <c r="B23" s="44"/>
      <c r="C23" s="44"/>
      <c r="D23" s="44"/>
      <c r="E23" s="44"/>
      <c r="F23" s="44"/>
      <c r="G23" s="45"/>
      <c r="H23" s="45"/>
      <c r="J23" s="46"/>
    </row>
    <row r="24" spans="1:10" ht="24.95" customHeight="1" x14ac:dyDescent="0.25">
      <c r="A24" s="81" t="str">
        <f>IF(OR(MONTH((DATE(Jahr,11,1)-WEEKDAY(DATE(Jahr,11,1),2)+1)+35)=11,MONTH((DATE(Jahr,11,1)-WEEKDAY(DATE(Jahr,11,1),2)+1)+35+6)=11),_xlfn.ISOWEEKNUM((DATE(Jahr,11,1)-WEEKDAY(DATE(Jahr,11,1),2)+1)+35),"")</f>
        <v/>
      </c>
      <c r="B24" s="37" t="str">
        <f>IF(MONTH((DATE(Jahr,11,1)-WEEKDAY(DATE(Jahr,11,1),2)+1)+35)=11,(DATE(Jahr,11,1)-WEEKDAY(DATE(Jahr,11,1),2)+1)+35,"")</f>
        <v/>
      </c>
      <c r="C24" s="37" t="str">
        <f>IF(MONTH((DATE(Jahr,11,1)-WEEKDAY(DATE(Jahr,11,1),2)+1)+36)=11,(DATE(Jahr,11,1)-WEEKDAY(DATE(Jahr,11,1),2)+1)+36,"")</f>
        <v/>
      </c>
      <c r="D24" s="37" t="str">
        <f>IF(MONTH((DATE(Jahr,11,1)-WEEKDAY(DATE(Jahr,11,1),2)+1)+37)=11,(DATE(Jahr,11,1)-WEEKDAY(DATE(Jahr,11,1),2)+1)+37,"")</f>
        <v/>
      </c>
      <c r="E24" s="37" t="str">
        <f>IF(MONTH((DATE(Jahr,11,1)-WEEKDAY(DATE(Jahr,11,1),2)+1)+38)=11,(DATE(Jahr,11,1)-WEEKDAY(DATE(Jahr,11,1),2)+1)+38,"")</f>
        <v/>
      </c>
      <c r="F24" s="37" t="str">
        <f>IF(MONTH((DATE(Jahr,11,1)-WEEKDAY(DATE(Jahr,11,1),2)+1)+39)=11,(DATE(Jahr,11,1)-WEEKDAY(DATE(Jahr,11,1),2)+1)+39,"")</f>
        <v/>
      </c>
      <c r="G24" s="38" t="str">
        <f>IF(MONTH((DATE(Jahr,11,1)-WEEKDAY(DATE(Jahr,11,1),2)+1)+40)=11,(DATE(Jahr,11,1)-WEEKDAY(DATE(Jahr,11,1),2)+1)+40,"")</f>
        <v/>
      </c>
      <c r="H24" s="38" t="str">
        <f>IF(MONTH((DATE(Jahr,11,1)-WEEKDAY(DATE(Jahr,11,1),2)+1)+41)=11,(DATE(Jahr,11,1)-WEEKDAY(DATE(Jahr,11,1),2)+1)+41,"")</f>
        <v/>
      </c>
      <c r="J24" s="39"/>
    </row>
    <row r="25" spans="1:10" ht="27.95" customHeight="1" x14ac:dyDescent="0.25">
      <c r="A25" s="82"/>
      <c r="B25" s="40" t="str">
        <f t="shared" ref="B25:H25" si="5">IF(ISNUMBER(B24),IF(IFERROR(INDEX(FT_Name,MATCH(B24,Feiertage_aktiv,0)),"")="",IFERROR(INDEX(BT_Name,MATCH(B24,BT_Datum,0)),""),IF(IFERROR(INDEX(BT_Name,MATCH(B24,BT_Datum,0)),"")="",IFERROR(INDEX(FT_Name,MATCH(B24,Feiertage_aktiv,0)),""),IF(LEFT(IFERROR(INDEX(BT_Name,MATCH(B24,BT_Datum,0)),""),LEN(IFERROR(INDEX(FT_Name,MATCH(B24,Feiertage_aktiv,0)),"")))=IFERROR(INDEX(FT_Name,MATCH(B24,Feiertage_aktiv,0)),""),IFERROR(INDEX(BT_Name,MATCH(B24,BT_Datum,0)),""),IFERROR(INDEX(FT_Name,MATCH(B24,Feiertage_aktiv,0)),"")&amp;" · "&amp;IFERROR(INDEX(BT_Name,MATCH(B24,BT_Datum,0)),"")))),"")</f>
        <v/>
      </c>
      <c r="C25" s="40" t="str">
        <f t="shared" si="5"/>
        <v/>
      </c>
      <c r="D25" s="40" t="str">
        <f t="shared" si="5"/>
        <v/>
      </c>
      <c r="E25" s="40" t="str">
        <f t="shared" si="5"/>
        <v/>
      </c>
      <c r="F25" s="40" t="str">
        <f t="shared" si="5"/>
        <v/>
      </c>
      <c r="G25" s="41" t="str">
        <f t="shared" si="5"/>
        <v/>
      </c>
      <c r="H25" s="41" t="str">
        <f t="shared" si="5"/>
        <v/>
      </c>
      <c r="J25" s="39"/>
    </row>
    <row r="26" spans="1:10" ht="21.95" customHeight="1" x14ac:dyDescent="0.25">
      <c r="A26" s="82"/>
      <c r="B26" s="42"/>
      <c r="C26" s="42"/>
      <c r="D26" s="42"/>
      <c r="E26" s="42"/>
      <c r="F26" s="42"/>
      <c r="G26" s="43"/>
      <c r="H26" s="43"/>
      <c r="J26" s="39"/>
    </row>
    <row r="27" spans="1:10" ht="23.1" customHeight="1" x14ac:dyDescent="0.25">
      <c r="A27" s="83"/>
      <c r="B27" s="44"/>
      <c r="C27" s="44"/>
      <c r="D27" s="44"/>
      <c r="E27" s="44"/>
      <c r="F27" s="44"/>
      <c r="G27" s="45"/>
      <c r="H27" s="45"/>
      <c r="J27" s="46"/>
    </row>
    <row r="28" spans="1:10" ht="15.95" customHeight="1" x14ac:dyDescent="0.25">
      <c r="A28" s="47" t="str">
        <f>"Rot: gesetzlicher Feiertag in "&amp;Bundesland&amp;". Grau: besondere Tage ohne Feiertag. Jahr und Bundesland ändern Sie im Blatt Jahreskalender."</f>
        <v>Rot: gesetzlicher Feiertag in Nordrhein-Westfalen. Grau: besondere Tage ohne Feiertag. Jahr und Bundesland ändern Sie im Blatt Jahreskalender.</v>
      </c>
    </row>
  </sheetData>
  <mergeCells count="6">
    <mergeCell ref="A4:A7"/>
    <mergeCell ref="A8:A11"/>
    <mergeCell ref="A12:A15"/>
    <mergeCell ref="A20:A23"/>
    <mergeCell ref="A24:A27"/>
    <mergeCell ref="A16:A19"/>
  </mergeCells>
  <conditionalFormatting sqref="B4:H7">
    <cfRule type="expression" dxfId="28" priority="1" stopIfTrue="1">
      <formula>B$4=""</formula>
    </cfRule>
    <cfRule type="expression" dxfId="27" priority="2">
      <formula>AND(ISNUMBER(B$4),COUNTIF(Feiertage_aktiv,B$4)&gt;0)</formula>
    </cfRule>
  </conditionalFormatting>
  <conditionalFormatting sqref="B8:H11">
    <cfRule type="expression" dxfId="26" priority="3" stopIfTrue="1">
      <formula>B$8=""</formula>
    </cfRule>
    <cfRule type="expression" dxfId="25" priority="4">
      <formula>AND(ISNUMBER(B$8),COUNTIF(Feiertage_aktiv,B$8)&gt;0)</formula>
    </cfRule>
  </conditionalFormatting>
  <conditionalFormatting sqref="B12:H15">
    <cfRule type="expression" dxfId="24" priority="5" stopIfTrue="1">
      <formula>B$12=""</formula>
    </cfRule>
    <cfRule type="expression" dxfId="23" priority="6">
      <formula>AND(ISNUMBER(B$12),COUNTIF(Feiertage_aktiv,B$12)&gt;0)</formula>
    </cfRule>
  </conditionalFormatting>
  <conditionalFormatting sqref="B16:H19">
    <cfRule type="expression" dxfId="22" priority="7" stopIfTrue="1">
      <formula>B$16=""</formula>
    </cfRule>
    <cfRule type="expression" dxfId="21" priority="8">
      <formula>AND(ISNUMBER(B$16),COUNTIF(Feiertage_aktiv,B$16)&gt;0)</formula>
    </cfRule>
  </conditionalFormatting>
  <conditionalFormatting sqref="B20:H23">
    <cfRule type="expression" dxfId="20" priority="9" stopIfTrue="1">
      <formula>B$20=""</formula>
    </cfRule>
    <cfRule type="expression" dxfId="19" priority="10">
      <formula>AND(ISNUMBER(B$20),COUNTIF(Feiertage_aktiv,B$20)&gt;0)</formula>
    </cfRule>
  </conditionalFormatting>
  <conditionalFormatting sqref="B24:H27">
    <cfRule type="expression" dxfId="18" priority="11" stopIfTrue="1">
      <formula>B$24=""</formula>
    </cfRule>
    <cfRule type="expression" dxfId="17" priority="12">
      <formula>AND(ISNUMBER(B$24),COUNTIF(Feiertage_aktiv,B$24)&gt;0)</formula>
    </cfRule>
  </conditionalFormatting>
  <printOptions horizontalCentered="1"/>
  <pageMargins left="0.4" right="0.4" top="0.45" bottom="0.55000000000000004" header="0.2" footer="0.25"/>
  <pageSetup paperSize="9" orientation="landscape"/>
  <headerFooter>
    <oddFooter>&amp;C&amp;8 &amp;K686E70Vorlage von seminaron.de&amp;R&amp;8 &amp;K686E70&amp;A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28"/>
  <sheetViews>
    <sheetView showGridLines="0" zoomScale="85" workbookViewId="0"/>
  </sheetViews>
  <sheetFormatPr baseColWidth="10" defaultColWidth="9.140625" defaultRowHeight="15" x14ac:dyDescent="0.25"/>
  <cols>
    <col min="1" max="1" width="5.42578125" customWidth="1"/>
    <col min="2" max="8" width="19.42578125" customWidth="1"/>
    <col min="9" max="9" width="1.42578125" customWidth="1"/>
    <col min="10" max="10" width="30" customWidth="1"/>
  </cols>
  <sheetData>
    <row r="1" spans="1:10" ht="36" customHeight="1" x14ac:dyDescent="0.25">
      <c r="A1" s="34" t="str">
        <f>"Dezember "&amp;Jahr</f>
        <v>Dezember 2027</v>
      </c>
    </row>
    <row r="2" spans="1:10" ht="18" customHeight="1" x14ac:dyDescent="0.25">
      <c r="A2" s="20" t="str">
        <f>"Feiertage: "&amp;Bundesland&amp;" · Arbeitstage Montag bis Freitag: "&amp;NETWORKDAYS(DATE(Jahr,12,1),DATE(Jahr,12,31),Feiertage_aktiv)</f>
        <v>Feiertage: Nordrhein-Westfalen · Arbeitstage Montag bis Freitag: 23</v>
      </c>
    </row>
    <row r="3" spans="1:10" ht="21" customHeight="1" x14ac:dyDescent="0.25">
      <c r="A3" s="35" t="s">
        <v>7</v>
      </c>
      <c r="B3" s="35" t="s">
        <v>56</v>
      </c>
      <c r="C3" s="35" t="s">
        <v>57</v>
      </c>
      <c r="D3" s="35" t="s">
        <v>58</v>
      </c>
      <c r="E3" s="35" t="s">
        <v>59</v>
      </c>
      <c r="F3" s="35" t="s">
        <v>60</v>
      </c>
      <c r="G3" s="36" t="s">
        <v>61</v>
      </c>
      <c r="H3" s="36" t="s">
        <v>62</v>
      </c>
      <c r="J3" s="35" t="s">
        <v>63</v>
      </c>
    </row>
    <row r="4" spans="1:10" ht="24.95" customHeight="1" x14ac:dyDescent="0.25">
      <c r="A4" s="81">
        <f>IF(OR(MONTH((DATE(Jahr,12,1)-WEEKDAY(DATE(Jahr,12,1),2)+1)+0)=12,MONTH((DATE(Jahr,12,1)-WEEKDAY(DATE(Jahr,12,1),2)+1)+0+6)=12),_xlfn.ISOWEEKNUM((DATE(Jahr,12,1)-WEEKDAY(DATE(Jahr,12,1),2)+1)+0),"")</f>
        <v>48</v>
      </c>
      <c r="B4" s="37" t="str">
        <f>IF(MONTH((DATE(Jahr,12,1)-WEEKDAY(DATE(Jahr,12,1),2)+1)+0)=12,(DATE(Jahr,12,1)-WEEKDAY(DATE(Jahr,12,1),2)+1)+0,"")</f>
        <v/>
      </c>
      <c r="C4" s="37" t="str">
        <f>IF(MONTH((DATE(Jahr,12,1)-WEEKDAY(DATE(Jahr,12,1),2)+1)+1)=12,(DATE(Jahr,12,1)-WEEKDAY(DATE(Jahr,12,1),2)+1)+1,"")</f>
        <v/>
      </c>
      <c r="D4" s="37">
        <f>IF(MONTH((DATE(Jahr,12,1)-WEEKDAY(DATE(Jahr,12,1),2)+1)+2)=12,(DATE(Jahr,12,1)-WEEKDAY(DATE(Jahr,12,1),2)+1)+2,"")</f>
        <v>46722</v>
      </c>
      <c r="E4" s="37">
        <f>IF(MONTH((DATE(Jahr,12,1)-WEEKDAY(DATE(Jahr,12,1),2)+1)+3)=12,(DATE(Jahr,12,1)-WEEKDAY(DATE(Jahr,12,1),2)+1)+3,"")</f>
        <v>46723</v>
      </c>
      <c r="F4" s="37">
        <f>IF(MONTH((DATE(Jahr,12,1)-WEEKDAY(DATE(Jahr,12,1),2)+1)+4)=12,(DATE(Jahr,12,1)-WEEKDAY(DATE(Jahr,12,1),2)+1)+4,"")</f>
        <v>46724</v>
      </c>
      <c r="G4" s="38">
        <f>IF(MONTH((DATE(Jahr,12,1)-WEEKDAY(DATE(Jahr,12,1),2)+1)+5)=12,(DATE(Jahr,12,1)-WEEKDAY(DATE(Jahr,12,1),2)+1)+5,"")</f>
        <v>46725</v>
      </c>
      <c r="H4" s="38">
        <f>IF(MONTH((DATE(Jahr,12,1)-WEEKDAY(DATE(Jahr,12,1),2)+1)+6)=12,(DATE(Jahr,12,1)-WEEKDAY(DATE(Jahr,12,1),2)+1)+6,"")</f>
        <v>46726</v>
      </c>
      <c r="J4" s="39"/>
    </row>
    <row r="5" spans="1:10" ht="27.95" customHeight="1" x14ac:dyDescent="0.25">
      <c r="A5" s="82"/>
      <c r="B5" s="40" t="str">
        <f t="shared" ref="B5:H5" si="0">IF(ISNUMBER(B4),IF(IFERROR(INDEX(FT_Name,MATCH(B4,Feiertage_aktiv,0)),"")="",IFERROR(INDEX(BT_Name,MATCH(B4,BT_Datum,0)),""),IF(IFERROR(INDEX(BT_Name,MATCH(B4,BT_Datum,0)),"")="",IFERROR(INDEX(FT_Name,MATCH(B4,Feiertage_aktiv,0)),""),IF(LEFT(IFERROR(INDEX(BT_Name,MATCH(B4,BT_Datum,0)),""),LEN(IFERROR(INDEX(FT_Name,MATCH(B4,Feiertage_aktiv,0)),"")))=IFERROR(INDEX(FT_Name,MATCH(B4,Feiertage_aktiv,0)),""),IFERROR(INDEX(BT_Name,MATCH(B4,BT_Datum,0)),""),IFERROR(INDEX(FT_Name,MATCH(B4,Feiertage_aktiv,0)),"")&amp;" · "&amp;IFERROR(INDEX(BT_Name,MATCH(B4,BT_Datum,0)),"")))),"")</f>
        <v/>
      </c>
      <c r="C5" s="40" t="str">
        <f t="shared" si="0"/>
        <v/>
      </c>
      <c r="D5" s="40" t="str">
        <f t="shared" si="0"/>
        <v/>
      </c>
      <c r="E5" s="40" t="str">
        <f t="shared" si="0"/>
        <v/>
      </c>
      <c r="F5" s="40" t="str">
        <f t="shared" si="0"/>
        <v/>
      </c>
      <c r="G5" s="41" t="str">
        <f t="shared" si="0"/>
        <v/>
      </c>
      <c r="H5" s="41" t="str">
        <f t="shared" si="0"/>
        <v/>
      </c>
      <c r="J5" s="39"/>
    </row>
    <row r="6" spans="1:10" ht="21.95" customHeight="1" x14ac:dyDescent="0.25">
      <c r="A6" s="82"/>
      <c r="B6" s="42"/>
      <c r="C6" s="42"/>
      <c r="D6" s="42"/>
      <c r="E6" s="42"/>
      <c r="F6" s="42"/>
      <c r="G6" s="43"/>
      <c r="H6" s="43"/>
      <c r="J6" s="39"/>
    </row>
    <row r="7" spans="1:10" ht="23.1" customHeight="1" x14ac:dyDescent="0.25">
      <c r="A7" s="83"/>
      <c r="B7" s="44"/>
      <c r="C7" s="44"/>
      <c r="D7" s="44"/>
      <c r="E7" s="44"/>
      <c r="F7" s="44"/>
      <c r="G7" s="45"/>
      <c r="H7" s="45"/>
      <c r="J7" s="46"/>
    </row>
    <row r="8" spans="1:10" ht="24.95" customHeight="1" x14ac:dyDescent="0.25">
      <c r="A8" s="81">
        <f>IF(OR(MONTH((DATE(Jahr,12,1)-WEEKDAY(DATE(Jahr,12,1),2)+1)+7)=12,MONTH((DATE(Jahr,12,1)-WEEKDAY(DATE(Jahr,12,1),2)+1)+7+6)=12),_xlfn.ISOWEEKNUM((DATE(Jahr,12,1)-WEEKDAY(DATE(Jahr,12,1),2)+1)+7),"")</f>
        <v>49</v>
      </c>
      <c r="B8" s="37">
        <f>IF(MONTH((DATE(Jahr,12,1)-WEEKDAY(DATE(Jahr,12,1),2)+1)+7)=12,(DATE(Jahr,12,1)-WEEKDAY(DATE(Jahr,12,1),2)+1)+7,"")</f>
        <v>46727</v>
      </c>
      <c r="C8" s="37">
        <f>IF(MONTH((DATE(Jahr,12,1)-WEEKDAY(DATE(Jahr,12,1),2)+1)+8)=12,(DATE(Jahr,12,1)-WEEKDAY(DATE(Jahr,12,1),2)+1)+8,"")</f>
        <v>46728</v>
      </c>
      <c r="D8" s="37">
        <f>IF(MONTH((DATE(Jahr,12,1)-WEEKDAY(DATE(Jahr,12,1),2)+1)+9)=12,(DATE(Jahr,12,1)-WEEKDAY(DATE(Jahr,12,1),2)+1)+9,"")</f>
        <v>46729</v>
      </c>
      <c r="E8" s="37">
        <f>IF(MONTH((DATE(Jahr,12,1)-WEEKDAY(DATE(Jahr,12,1),2)+1)+10)=12,(DATE(Jahr,12,1)-WEEKDAY(DATE(Jahr,12,1),2)+1)+10,"")</f>
        <v>46730</v>
      </c>
      <c r="F8" s="37">
        <f>IF(MONTH((DATE(Jahr,12,1)-WEEKDAY(DATE(Jahr,12,1),2)+1)+11)=12,(DATE(Jahr,12,1)-WEEKDAY(DATE(Jahr,12,1),2)+1)+11,"")</f>
        <v>46731</v>
      </c>
      <c r="G8" s="38">
        <f>IF(MONTH((DATE(Jahr,12,1)-WEEKDAY(DATE(Jahr,12,1),2)+1)+12)=12,(DATE(Jahr,12,1)-WEEKDAY(DATE(Jahr,12,1),2)+1)+12,"")</f>
        <v>46732</v>
      </c>
      <c r="H8" s="38">
        <f>IF(MONTH((DATE(Jahr,12,1)-WEEKDAY(DATE(Jahr,12,1),2)+1)+13)=12,(DATE(Jahr,12,1)-WEEKDAY(DATE(Jahr,12,1),2)+1)+13,"")</f>
        <v>46733</v>
      </c>
      <c r="J8" s="39"/>
    </row>
    <row r="9" spans="1:10" ht="27.95" customHeight="1" x14ac:dyDescent="0.25">
      <c r="A9" s="82"/>
      <c r="B9" s="40" t="str">
        <f t="shared" ref="B9:H9" si="1">IF(ISNUMBER(B8),IF(IFERROR(INDEX(FT_Name,MATCH(B8,Feiertage_aktiv,0)),"")="",IFERROR(INDEX(BT_Name,MATCH(B8,BT_Datum,0)),""),IF(IFERROR(INDEX(BT_Name,MATCH(B8,BT_Datum,0)),"")="",IFERROR(INDEX(FT_Name,MATCH(B8,Feiertage_aktiv,0)),""),IF(LEFT(IFERROR(INDEX(BT_Name,MATCH(B8,BT_Datum,0)),""),LEN(IFERROR(INDEX(FT_Name,MATCH(B8,Feiertage_aktiv,0)),"")))=IFERROR(INDEX(FT_Name,MATCH(B8,Feiertage_aktiv,0)),""),IFERROR(INDEX(BT_Name,MATCH(B8,BT_Datum,0)),""),IFERROR(INDEX(FT_Name,MATCH(B8,Feiertage_aktiv,0)),"")&amp;" · "&amp;IFERROR(INDEX(BT_Name,MATCH(B8,BT_Datum,0)),"")))),"")</f>
        <v/>
      </c>
      <c r="C9" s="40" t="str">
        <f t="shared" si="1"/>
        <v/>
      </c>
      <c r="D9" s="40" t="str">
        <f t="shared" si="1"/>
        <v/>
      </c>
      <c r="E9" s="40" t="str">
        <f t="shared" si="1"/>
        <v/>
      </c>
      <c r="F9" s="40" t="str">
        <f t="shared" si="1"/>
        <v/>
      </c>
      <c r="G9" s="41" t="str">
        <f t="shared" si="1"/>
        <v/>
      </c>
      <c r="H9" s="41" t="str">
        <f t="shared" si="1"/>
        <v/>
      </c>
      <c r="J9" s="39"/>
    </row>
    <row r="10" spans="1:10" ht="21.95" customHeight="1" x14ac:dyDescent="0.25">
      <c r="A10" s="82"/>
      <c r="B10" s="42"/>
      <c r="C10" s="42"/>
      <c r="D10" s="42"/>
      <c r="E10" s="42"/>
      <c r="F10" s="42"/>
      <c r="G10" s="43"/>
      <c r="H10" s="43"/>
      <c r="J10" s="39"/>
    </row>
    <row r="11" spans="1:10" ht="23.1" customHeight="1" x14ac:dyDescent="0.25">
      <c r="A11" s="83"/>
      <c r="B11" s="44"/>
      <c r="C11" s="44"/>
      <c r="D11" s="44"/>
      <c r="E11" s="44"/>
      <c r="F11" s="44"/>
      <c r="G11" s="45"/>
      <c r="H11" s="45"/>
      <c r="J11" s="46"/>
    </row>
    <row r="12" spans="1:10" ht="24.95" customHeight="1" x14ac:dyDescent="0.25">
      <c r="A12" s="81">
        <f>IF(OR(MONTH((DATE(Jahr,12,1)-WEEKDAY(DATE(Jahr,12,1),2)+1)+14)=12,MONTH((DATE(Jahr,12,1)-WEEKDAY(DATE(Jahr,12,1),2)+1)+14+6)=12),_xlfn.ISOWEEKNUM((DATE(Jahr,12,1)-WEEKDAY(DATE(Jahr,12,1),2)+1)+14),"")</f>
        <v>50</v>
      </c>
      <c r="B12" s="37">
        <f>IF(MONTH((DATE(Jahr,12,1)-WEEKDAY(DATE(Jahr,12,1),2)+1)+14)=12,(DATE(Jahr,12,1)-WEEKDAY(DATE(Jahr,12,1),2)+1)+14,"")</f>
        <v>46734</v>
      </c>
      <c r="C12" s="37">
        <f>IF(MONTH((DATE(Jahr,12,1)-WEEKDAY(DATE(Jahr,12,1),2)+1)+15)=12,(DATE(Jahr,12,1)-WEEKDAY(DATE(Jahr,12,1),2)+1)+15,"")</f>
        <v>46735</v>
      </c>
      <c r="D12" s="37">
        <f>IF(MONTH((DATE(Jahr,12,1)-WEEKDAY(DATE(Jahr,12,1),2)+1)+16)=12,(DATE(Jahr,12,1)-WEEKDAY(DATE(Jahr,12,1),2)+1)+16,"")</f>
        <v>46736</v>
      </c>
      <c r="E12" s="37">
        <f>IF(MONTH((DATE(Jahr,12,1)-WEEKDAY(DATE(Jahr,12,1),2)+1)+17)=12,(DATE(Jahr,12,1)-WEEKDAY(DATE(Jahr,12,1),2)+1)+17,"")</f>
        <v>46737</v>
      </c>
      <c r="F12" s="37">
        <f>IF(MONTH((DATE(Jahr,12,1)-WEEKDAY(DATE(Jahr,12,1),2)+1)+18)=12,(DATE(Jahr,12,1)-WEEKDAY(DATE(Jahr,12,1),2)+1)+18,"")</f>
        <v>46738</v>
      </c>
      <c r="G12" s="38">
        <f>IF(MONTH((DATE(Jahr,12,1)-WEEKDAY(DATE(Jahr,12,1),2)+1)+19)=12,(DATE(Jahr,12,1)-WEEKDAY(DATE(Jahr,12,1),2)+1)+19,"")</f>
        <v>46739</v>
      </c>
      <c r="H12" s="38">
        <f>IF(MONTH((DATE(Jahr,12,1)-WEEKDAY(DATE(Jahr,12,1),2)+1)+20)=12,(DATE(Jahr,12,1)-WEEKDAY(DATE(Jahr,12,1),2)+1)+20,"")</f>
        <v>46740</v>
      </c>
      <c r="J12" s="39"/>
    </row>
    <row r="13" spans="1:10" ht="27.95" customHeight="1" x14ac:dyDescent="0.25">
      <c r="A13" s="82"/>
      <c r="B13" s="40" t="str">
        <f t="shared" ref="B13:H13" si="2">IF(ISNUMBER(B12),IF(IFERROR(INDEX(FT_Name,MATCH(B12,Feiertage_aktiv,0)),"")="",IFERROR(INDEX(BT_Name,MATCH(B12,BT_Datum,0)),""),IF(IFERROR(INDEX(BT_Name,MATCH(B12,BT_Datum,0)),"")="",IFERROR(INDEX(FT_Name,MATCH(B12,Feiertage_aktiv,0)),""),IF(LEFT(IFERROR(INDEX(BT_Name,MATCH(B12,BT_Datum,0)),""),LEN(IFERROR(INDEX(FT_Name,MATCH(B12,Feiertage_aktiv,0)),"")))=IFERROR(INDEX(FT_Name,MATCH(B12,Feiertage_aktiv,0)),""),IFERROR(INDEX(BT_Name,MATCH(B12,BT_Datum,0)),""),IFERROR(INDEX(FT_Name,MATCH(B12,Feiertage_aktiv,0)),"")&amp;" · "&amp;IFERROR(INDEX(BT_Name,MATCH(B12,BT_Datum,0)),"")))),"")</f>
        <v/>
      </c>
      <c r="C13" s="40" t="str">
        <f t="shared" si="2"/>
        <v/>
      </c>
      <c r="D13" s="40" t="str">
        <f t="shared" si="2"/>
        <v/>
      </c>
      <c r="E13" s="40" t="str">
        <f t="shared" si="2"/>
        <v/>
      </c>
      <c r="F13" s="40" t="str">
        <f t="shared" si="2"/>
        <v/>
      </c>
      <c r="G13" s="41" t="str">
        <f t="shared" si="2"/>
        <v/>
      </c>
      <c r="H13" s="41" t="str">
        <f t="shared" si="2"/>
        <v/>
      </c>
      <c r="J13" s="39"/>
    </row>
    <row r="14" spans="1:10" ht="21.95" customHeight="1" x14ac:dyDescent="0.25">
      <c r="A14" s="82"/>
      <c r="B14" s="42"/>
      <c r="C14" s="42"/>
      <c r="D14" s="42"/>
      <c r="E14" s="42"/>
      <c r="F14" s="42"/>
      <c r="G14" s="43"/>
      <c r="H14" s="43"/>
      <c r="J14" s="39"/>
    </row>
    <row r="15" spans="1:10" ht="23.1" customHeight="1" x14ac:dyDescent="0.25">
      <c r="A15" s="83"/>
      <c r="B15" s="44"/>
      <c r="C15" s="44"/>
      <c r="D15" s="44"/>
      <c r="E15" s="44"/>
      <c r="F15" s="44"/>
      <c r="G15" s="45"/>
      <c r="H15" s="45"/>
      <c r="J15" s="46"/>
    </row>
    <row r="16" spans="1:10" ht="24.95" customHeight="1" x14ac:dyDescent="0.25">
      <c r="A16" s="81">
        <f>IF(OR(MONTH((DATE(Jahr,12,1)-WEEKDAY(DATE(Jahr,12,1),2)+1)+21)=12,MONTH((DATE(Jahr,12,1)-WEEKDAY(DATE(Jahr,12,1),2)+1)+21+6)=12),_xlfn.ISOWEEKNUM((DATE(Jahr,12,1)-WEEKDAY(DATE(Jahr,12,1),2)+1)+21),"")</f>
        <v>51</v>
      </c>
      <c r="B16" s="37">
        <f>IF(MONTH((DATE(Jahr,12,1)-WEEKDAY(DATE(Jahr,12,1),2)+1)+21)=12,(DATE(Jahr,12,1)-WEEKDAY(DATE(Jahr,12,1),2)+1)+21,"")</f>
        <v>46741</v>
      </c>
      <c r="C16" s="37">
        <f>IF(MONTH((DATE(Jahr,12,1)-WEEKDAY(DATE(Jahr,12,1),2)+1)+22)=12,(DATE(Jahr,12,1)-WEEKDAY(DATE(Jahr,12,1),2)+1)+22,"")</f>
        <v>46742</v>
      </c>
      <c r="D16" s="37">
        <f>IF(MONTH((DATE(Jahr,12,1)-WEEKDAY(DATE(Jahr,12,1),2)+1)+23)=12,(DATE(Jahr,12,1)-WEEKDAY(DATE(Jahr,12,1),2)+1)+23,"")</f>
        <v>46743</v>
      </c>
      <c r="E16" s="37">
        <f>IF(MONTH((DATE(Jahr,12,1)-WEEKDAY(DATE(Jahr,12,1),2)+1)+24)=12,(DATE(Jahr,12,1)-WEEKDAY(DATE(Jahr,12,1),2)+1)+24,"")</f>
        <v>46744</v>
      </c>
      <c r="F16" s="37">
        <f>IF(MONTH((DATE(Jahr,12,1)-WEEKDAY(DATE(Jahr,12,1),2)+1)+25)=12,(DATE(Jahr,12,1)-WEEKDAY(DATE(Jahr,12,1),2)+1)+25,"")</f>
        <v>46745</v>
      </c>
      <c r="G16" s="38">
        <f>IF(MONTH((DATE(Jahr,12,1)-WEEKDAY(DATE(Jahr,12,1),2)+1)+26)=12,(DATE(Jahr,12,1)-WEEKDAY(DATE(Jahr,12,1),2)+1)+26,"")</f>
        <v>46746</v>
      </c>
      <c r="H16" s="38">
        <f>IF(MONTH((DATE(Jahr,12,1)-WEEKDAY(DATE(Jahr,12,1),2)+1)+27)=12,(DATE(Jahr,12,1)-WEEKDAY(DATE(Jahr,12,1),2)+1)+27,"")</f>
        <v>46747</v>
      </c>
      <c r="J16" s="39"/>
    </row>
    <row r="17" spans="1:10" ht="27.95" customHeight="1" x14ac:dyDescent="0.25">
      <c r="A17" s="82"/>
      <c r="B17" s="40" t="str">
        <f t="shared" ref="B17:H17" si="3">IF(ISNUMBER(B16),IF(IFERROR(INDEX(FT_Name,MATCH(B16,Feiertage_aktiv,0)),"")="",IFERROR(INDEX(BT_Name,MATCH(B16,BT_Datum,0)),""),IF(IFERROR(INDEX(BT_Name,MATCH(B16,BT_Datum,0)),"")="",IFERROR(INDEX(FT_Name,MATCH(B16,Feiertage_aktiv,0)),""),IF(LEFT(IFERROR(INDEX(BT_Name,MATCH(B16,BT_Datum,0)),""),LEN(IFERROR(INDEX(FT_Name,MATCH(B16,Feiertage_aktiv,0)),"")))=IFERROR(INDEX(FT_Name,MATCH(B16,Feiertage_aktiv,0)),""),IFERROR(INDEX(BT_Name,MATCH(B16,BT_Datum,0)),""),IFERROR(INDEX(FT_Name,MATCH(B16,Feiertage_aktiv,0)),"")&amp;" · "&amp;IFERROR(INDEX(BT_Name,MATCH(B16,BT_Datum,0)),"")))),"")</f>
        <v/>
      </c>
      <c r="C17" s="40" t="str">
        <f t="shared" si="3"/>
        <v/>
      </c>
      <c r="D17" s="40" t="str">
        <f t="shared" si="3"/>
        <v/>
      </c>
      <c r="E17" s="40" t="str">
        <f t="shared" si="3"/>
        <v/>
      </c>
      <c r="F17" s="40" t="str">
        <f t="shared" si="3"/>
        <v>Heiligabend</v>
      </c>
      <c r="G17" s="41" t="str">
        <f t="shared" si="3"/>
        <v>1. Weihnachtstag</v>
      </c>
      <c r="H17" s="41" t="str">
        <f t="shared" si="3"/>
        <v>2. Weihnachtstag</v>
      </c>
      <c r="J17" s="39"/>
    </row>
    <row r="18" spans="1:10" ht="21.95" customHeight="1" x14ac:dyDescent="0.25">
      <c r="A18" s="82"/>
      <c r="B18" s="42"/>
      <c r="C18" s="42"/>
      <c r="D18" s="42"/>
      <c r="E18" s="42"/>
      <c r="F18" s="42"/>
      <c r="G18" s="43"/>
      <c r="H18" s="43"/>
      <c r="J18" s="39"/>
    </row>
    <row r="19" spans="1:10" ht="23.1" customHeight="1" x14ac:dyDescent="0.25">
      <c r="A19" s="83"/>
      <c r="B19" s="44"/>
      <c r="C19" s="44"/>
      <c r="D19" s="44"/>
      <c r="E19" s="44"/>
      <c r="F19" s="44"/>
      <c r="G19" s="45"/>
      <c r="H19" s="45"/>
      <c r="J19" s="46"/>
    </row>
    <row r="20" spans="1:10" ht="24.95" customHeight="1" x14ac:dyDescent="0.25">
      <c r="A20" s="81">
        <f>IF(OR(MONTH((DATE(Jahr,12,1)-WEEKDAY(DATE(Jahr,12,1),2)+1)+28)=12,MONTH((DATE(Jahr,12,1)-WEEKDAY(DATE(Jahr,12,1),2)+1)+28+6)=12),_xlfn.ISOWEEKNUM((DATE(Jahr,12,1)-WEEKDAY(DATE(Jahr,12,1),2)+1)+28),"")</f>
        <v>52</v>
      </c>
      <c r="B20" s="37">
        <f>IF(MONTH((DATE(Jahr,12,1)-WEEKDAY(DATE(Jahr,12,1),2)+1)+28)=12,(DATE(Jahr,12,1)-WEEKDAY(DATE(Jahr,12,1),2)+1)+28,"")</f>
        <v>46748</v>
      </c>
      <c r="C20" s="37">
        <f>IF(MONTH((DATE(Jahr,12,1)-WEEKDAY(DATE(Jahr,12,1),2)+1)+29)=12,(DATE(Jahr,12,1)-WEEKDAY(DATE(Jahr,12,1),2)+1)+29,"")</f>
        <v>46749</v>
      </c>
      <c r="D20" s="37">
        <f>IF(MONTH((DATE(Jahr,12,1)-WEEKDAY(DATE(Jahr,12,1),2)+1)+30)=12,(DATE(Jahr,12,1)-WEEKDAY(DATE(Jahr,12,1),2)+1)+30,"")</f>
        <v>46750</v>
      </c>
      <c r="E20" s="37">
        <f>IF(MONTH((DATE(Jahr,12,1)-WEEKDAY(DATE(Jahr,12,1),2)+1)+31)=12,(DATE(Jahr,12,1)-WEEKDAY(DATE(Jahr,12,1),2)+1)+31,"")</f>
        <v>46751</v>
      </c>
      <c r="F20" s="37">
        <f>IF(MONTH((DATE(Jahr,12,1)-WEEKDAY(DATE(Jahr,12,1),2)+1)+32)=12,(DATE(Jahr,12,1)-WEEKDAY(DATE(Jahr,12,1),2)+1)+32,"")</f>
        <v>46752</v>
      </c>
      <c r="G20" s="38" t="str">
        <f>IF(MONTH((DATE(Jahr,12,1)-WEEKDAY(DATE(Jahr,12,1),2)+1)+33)=12,(DATE(Jahr,12,1)-WEEKDAY(DATE(Jahr,12,1),2)+1)+33,"")</f>
        <v/>
      </c>
      <c r="H20" s="38" t="str">
        <f>IF(MONTH((DATE(Jahr,12,1)-WEEKDAY(DATE(Jahr,12,1),2)+1)+34)=12,(DATE(Jahr,12,1)-WEEKDAY(DATE(Jahr,12,1),2)+1)+34,"")</f>
        <v/>
      </c>
      <c r="J20" s="39"/>
    </row>
    <row r="21" spans="1:10" ht="27.95" customHeight="1" x14ac:dyDescent="0.25">
      <c r="A21" s="82"/>
      <c r="B21" s="40" t="str">
        <f t="shared" ref="B21:H21" si="4">IF(ISNUMBER(B20),IF(IFERROR(INDEX(FT_Name,MATCH(B20,Feiertage_aktiv,0)),"")="",IFERROR(INDEX(BT_Name,MATCH(B20,BT_Datum,0)),""),IF(IFERROR(INDEX(BT_Name,MATCH(B20,BT_Datum,0)),"")="",IFERROR(INDEX(FT_Name,MATCH(B20,Feiertage_aktiv,0)),""),IF(LEFT(IFERROR(INDEX(BT_Name,MATCH(B20,BT_Datum,0)),""),LEN(IFERROR(INDEX(FT_Name,MATCH(B20,Feiertage_aktiv,0)),"")))=IFERROR(INDEX(FT_Name,MATCH(B20,Feiertage_aktiv,0)),""),IFERROR(INDEX(BT_Name,MATCH(B20,BT_Datum,0)),""),IFERROR(INDEX(FT_Name,MATCH(B20,Feiertage_aktiv,0)),"")&amp;" · "&amp;IFERROR(INDEX(BT_Name,MATCH(B20,BT_Datum,0)),"")))),"")</f>
        <v/>
      </c>
      <c r="C21" s="40" t="str">
        <f t="shared" si="4"/>
        <v/>
      </c>
      <c r="D21" s="40" t="str">
        <f t="shared" si="4"/>
        <v/>
      </c>
      <c r="E21" s="40" t="str">
        <f t="shared" si="4"/>
        <v/>
      </c>
      <c r="F21" s="40" t="str">
        <f t="shared" si="4"/>
        <v>Silvester</v>
      </c>
      <c r="G21" s="41" t="str">
        <f t="shared" si="4"/>
        <v/>
      </c>
      <c r="H21" s="41" t="str">
        <f t="shared" si="4"/>
        <v/>
      </c>
      <c r="J21" s="39"/>
    </row>
    <row r="22" spans="1:10" ht="21.95" customHeight="1" x14ac:dyDescent="0.25">
      <c r="A22" s="82"/>
      <c r="B22" s="42"/>
      <c r="C22" s="42"/>
      <c r="D22" s="42"/>
      <c r="E22" s="42"/>
      <c r="F22" s="42"/>
      <c r="G22" s="43"/>
      <c r="H22" s="43"/>
      <c r="J22" s="39"/>
    </row>
    <row r="23" spans="1:10" ht="23.1" customHeight="1" x14ac:dyDescent="0.25">
      <c r="A23" s="83"/>
      <c r="B23" s="44"/>
      <c r="C23" s="44"/>
      <c r="D23" s="44"/>
      <c r="E23" s="44"/>
      <c r="F23" s="44"/>
      <c r="G23" s="45"/>
      <c r="H23" s="45"/>
      <c r="J23" s="46"/>
    </row>
    <row r="24" spans="1:10" ht="24.95" customHeight="1" x14ac:dyDescent="0.25">
      <c r="A24" s="81" t="str">
        <f>IF(OR(MONTH((DATE(Jahr,12,1)-WEEKDAY(DATE(Jahr,12,1),2)+1)+35)=12,MONTH((DATE(Jahr,12,1)-WEEKDAY(DATE(Jahr,12,1),2)+1)+35+6)=12),_xlfn.ISOWEEKNUM((DATE(Jahr,12,1)-WEEKDAY(DATE(Jahr,12,1),2)+1)+35),"")</f>
        <v/>
      </c>
      <c r="B24" s="37" t="str">
        <f>IF(MONTH((DATE(Jahr,12,1)-WEEKDAY(DATE(Jahr,12,1),2)+1)+35)=12,(DATE(Jahr,12,1)-WEEKDAY(DATE(Jahr,12,1),2)+1)+35,"")</f>
        <v/>
      </c>
      <c r="C24" s="37" t="str">
        <f>IF(MONTH((DATE(Jahr,12,1)-WEEKDAY(DATE(Jahr,12,1),2)+1)+36)=12,(DATE(Jahr,12,1)-WEEKDAY(DATE(Jahr,12,1),2)+1)+36,"")</f>
        <v/>
      </c>
      <c r="D24" s="37" t="str">
        <f>IF(MONTH((DATE(Jahr,12,1)-WEEKDAY(DATE(Jahr,12,1),2)+1)+37)=12,(DATE(Jahr,12,1)-WEEKDAY(DATE(Jahr,12,1),2)+1)+37,"")</f>
        <v/>
      </c>
      <c r="E24" s="37" t="str">
        <f>IF(MONTH((DATE(Jahr,12,1)-WEEKDAY(DATE(Jahr,12,1),2)+1)+38)=12,(DATE(Jahr,12,1)-WEEKDAY(DATE(Jahr,12,1),2)+1)+38,"")</f>
        <v/>
      </c>
      <c r="F24" s="37" t="str">
        <f>IF(MONTH((DATE(Jahr,12,1)-WEEKDAY(DATE(Jahr,12,1),2)+1)+39)=12,(DATE(Jahr,12,1)-WEEKDAY(DATE(Jahr,12,1),2)+1)+39,"")</f>
        <v/>
      </c>
      <c r="G24" s="38" t="str">
        <f>IF(MONTH((DATE(Jahr,12,1)-WEEKDAY(DATE(Jahr,12,1),2)+1)+40)=12,(DATE(Jahr,12,1)-WEEKDAY(DATE(Jahr,12,1),2)+1)+40,"")</f>
        <v/>
      </c>
      <c r="H24" s="38" t="str">
        <f>IF(MONTH((DATE(Jahr,12,1)-WEEKDAY(DATE(Jahr,12,1),2)+1)+41)=12,(DATE(Jahr,12,1)-WEEKDAY(DATE(Jahr,12,1),2)+1)+41,"")</f>
        <v/>
      </c>
      <c r="J24" s="39"/>
    </row>
    <row r="25" spans="1:10" ht="27.95" customHeight="1" x14ac:dyDescent="0.25">
      <c r="A25" s="82"/>
      <c r="B25" s="40" t="str">
        <f t="shared" ref="B25:H25" si="5">IF(ISNUMBER(B24),IF(IFERROR(INDEX(FT_Name,MATCH(B24,Feiertage_aktiv,0)),"")="",IFERROR(INDEX(BT_Name,MATCH(B24,BT_Datum,0)),""),IF(IFERROR(INDEX(BT_Name,MATCH(B24,BT_Datum,0)),"")="",IFERROR(INDEX(FT_Name,MATCH(B24,Feiertage_aktiv,0)),""),IF(LEFT(IFERROR(INDEX(BT_Name,MATCH(B24,BT_Datum,0)),""),LEN(IFERROR(INDEX(FT_Name,MATCH(B24,Feiertage_aktiv,0)),"")))=IFERROR(INDEX(FT_Name,MATCH(B24,Feiertage_aktiv,0)),""),IFERROR(INDEX(BT_Name,MATCH(B24,BT_Datum,0)),""),IFERROR(INDEX(FT_Name,MATCH(B24,Feiertage_aktiv,0)),"")&amp;" · "&amp;IFERROR(INDEX(BT_Name,MATCH(B24,BT_Datum,0)),"")))),"")</f>
        <v/>
      </c>
      <c r="C25" s="40" t="str">
        <f t="shared" si="5"/>
        <v/>
      </c>
      <c r="D25" s="40" t="str">
        <f t="shared" si="5"/>
        <v/>
      </c>
      <c r="E25" s="40" t="str">
        <f t="shared" si="5"/>
        <v/>
      </c>
      <c r="F25" s="40" t="str">
        <f t="shared" si="5"/>
        <v/>
      </c>
      <c r="G25" s="41" t="str">
        <f t="shared" si="5"/>
        <v/>
      </c>
      <c r="H25" s="41" t="str">
        <f t="shared" si="5"/>
        <v/>
      </c>
      <c r="J25" s="39"/>
    </row>
    <row r="26" spans="1:10" ht="21.95" customHeight="1" x14ac:dyDescent="0.25">
      <c r="A26" s="82"/>
      <c r="B26" s="42"/>
      <c r="C26" s="42"/>
      <c r="D26" s="42"/>
      <c r="E26" s="42"/>
      <c r="F26" s="42"/>
      <c r="G26" s="43"/>
      <c r="H26" s="43"/>
      <c r="J26" s="39"/>
    </row>
    <row r="27" spans="1:10" ht="23.1" customHeight="1" x14ac:dyDescent="0.25">
      <c r="A27" s="83"/>
      <c r="B27" s="44"/>
      <c r="C27" s="44"/>
      <c r="D27" s="44"/>
      <c r="E27" s="44"/>
      <c r="F27" s="44"/>
      <c r="G27" s="45"/>
      <c r="H27" s="45"/>
      <c r="J27" s="46"/>
    </row>
    <row r="28" spans="1:10" ht="15.95" customHeight="1" x14ac:dyDescent="0.25">
      <c r="A28" s="47" t="str">
        <f>"Rot: gesetzlicher Feiertag in "&amp;Bundesland&amp;". Grau: besondere Tage ohne Feiertag. Jahr und Bundesland ändern Sie im Blatt Jahreskalender."</f>
        <v>Rot: gesetzlicher Feiertag in Nordrhein-Westfalen. Grau: besondere Tage ohne Feiertag. Jahr und Bundesland ändern Sie im Blatt Jahreskalender.</v>
      </c>
    </row>
  </sheetData>
  <mergeCells count="6">
    <mergeCell ref="A4:A7"/>
    <mergeCell ref="A8:A11"/>
    <mergeCell ref="A12:A15"/>
    <mergeCell ref="A20:A23"/>
    <mergeCell ref="A24:A27"/>
    <mergeCell ref="A16:A19"/>
  </mergeCells>
  <conditionalFormatting sqref="B4:H7">
    <cfRule type="expression" dxfId="16" priority="1" stopIfTrue="1">
      <formula>B$4=""</formula>
    </cfRule>
    <cfRule type="expression" dxfId="15" priority="2">
      <formula>AND(ISNUMBER(B$4),COUNTIF(Feiertage_aktiv,B$4)&gt;0)</formula>
    </cfRule>
  </conditionalFormatting>
  <conditionalFormatting sqref="B8:H11">
    <cfRule type="expression" dxfId="14" priority="3" stopIfTrue="1">
      <formula>B$8=""</formula>
    </cfRule>
    <cfRule type="expression" dxfId="13" priority="4">
      <formula>AND(ISNUMBER(B$8),COUNTIF(Feiertage_aktiv,B$8)&gt;0)</formula>
    </cfRule>
  </conditionalFormatting>
  <conditionalFormatting sqref="B12:H15">
    <cfRule type="expression" dxfId="12" priority="5" stopIfTrue="1">
      <formula>B$12=""</formula>
    </cfRule>
    <cfRule type="expression" dxfId="11" priority="6">
      <formula>AND(ISNUMBER(B$12),COUNTIF(Feiertage_aktiv,B$12)&gt;0)</formula>
    </cfRule>
  </conditionalFormatting>
  <conditionalFormatting sqref="B16:H19">
    <cfRule type="expression" dxfId="10" priority="7" stopIfTrue="1">
      <formula>B$16=""</formula>
    </cfRule>
    <cfRule type="expression" dxfId="9" priority="8">
      <formula>AND(ISNUMBER(B$16),COUNTIF(Feiertage_aktiv,B$16)&gt;0)</formula>
    </cfRule>
  </conditionalFormatting>
  <conditionalFormatting sqref="B20:H23">
    <cfRule type="expression" dxfId="8" priority="9" stopIfTrue="1">
      <formula>B$20=""</formula>
    </cfRule>
    <cfRule type="expression" dxfId="7" priority="10">
      <formula>AND(ISNUMBER(B$20),COUNTIF(Feiertage_aktiv,B$20)&gt;0)</formula>
    </cfRule>
  </conditionalFormatting>
  <conditionalFormatting sqref="B24:H27">
    <cfRule type="expression" dxfId="6" priority="11" stopIfTrue="1">
      <formula>B$24=""</formula>
    </cfRule>
    <cfRule type="expression" dxfId="5" priority="12">
      <formula>AND(ISNUMBER(B$24),COUNTIF(Feiertage_aktiv,B$24)&gt;0)</formula>
    </cfRule>
  </conditionalFormatting>
  <printOptions horizontalCentered="1"/>
  <pageMargins left="0.4" right="0.4" top="0.45" bottom="0.55000000000000004" header="0.2" footer="0.25"/>
  <pageSetup paperSize="9" orientation="landscape"/>
  <headerFooter>
    <oddFooter>&amp;C&amp;8 &amp;K686E70Vorlage von seminaron.de&amp;R&amp;8 &amp;K686E70&amp;A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B83F50"/>
    <pageSetUpPr fitToPage="1"/>
  </sheetPr>
  <dimension ref="A1:F57"/>
  <sheetViews>
    <sheetView showGridLines="0" workbookViewId="0">
      <pane ySplit="4" topLeftCell="A5" activePane="bottomLeft" state="frozen"/>
      <selection pane="bottomLeft"/>
    </sheetView>
  </sheetViews>
  <sheetFormatPr baseColWidth="10" defaultColWidth="9.140625" defaultRowHeight="15" x14ac:dyDescent="0.25"/>
  <cols>
    <col min="1" max="1" width="6" customWidth="1"/>
    <col min="2" max="3" width="13" customWidth="1"/>
    <col min="4" max="4" width="40" customWidth="1"/>
    <col min="5" max="5" width="11" customWidth="1"/>
    <col min="6" max="6" width="40" customWidth="1"/>
  </cols>
  <sheetData>
    <row r="1" spans="1:6" ht="30" customHeight="1" x14ac:dyDescent="0.45">
      <c r="A1" s="48" t="str">
        <f>"Kalenderwochen "&amp;Jahr</f>
        <v>Kalenderwochen 2027</v>
      </c>
    </row>
    <row r="2" spans="1:6" x14ac:dyDescent="0.25">
      <c r="A2" s="20" t="str">
        <f>"Kalenderwochen nach ISO 8601: Die KW 1 ist die Woche mit dem ersten Donnerstag des Jahres. "&amp;Jahr&amp;" hat "&amp;_xlfn.ISOWEEKNUM(DATE(Jahr,12,28))&amp;" Kalenderwochen."</f>
        <v>Kalenderwochen nach ISO 8601: Die KW 1 ist die Woche mit dem ersten Donnerstag des Jahres. 2027 hat 52 Kalenderwochen.</v>
      </c>
    </row>
    <row r="4" spans="1:6" ht="20.100000000000001" customHeight="1" x14ac:dyDescent="0.25">
      <c r="A4" s="49" t="s">
        <v>7</v>
      </c>
      <c r="B4" s="49" t="s">
        <v>56</v>
      </c>
      <c r="C4" s="49" t="s">
        <v>62</v>
      </c>
      <c r="D4" s="49" t="str">
        <f>"Feiertage in "&amp;Bundesland</f>
        <v>Feiertage in Nordrhein-Westfalen</v>
      </c>
      <c r="E4" s="49" t="s">
        <v>64</v>
      </c>
      <c r="F4" s="49" t="s">
        <v>63</v>
      </c>
    </row>
    <row r="5" spans="1:6" ht="17.100000000000001" customHeight="1" x14ac:dyDescent="0.25">
      <c r="A5" s="50">
        <f>IF(1&lt;=_xlfn.ISOWEEKNUM(DATE(Jahr,12,28)),1,"")</f>
        <v>1</v>
      </c>
      <c r="B5" s="51">
        <f>IF(A5="","",(DATE(Jahr,1,4)-WEEKDAY(DATE(Jahr,1,4),2)+1)+0)</f>
        <v>46391</v>
      </c>
      <c r="C5" s="51">
        <f t="shared" ref="C5:C36" si="0">IF(A5="","",B5+6)</f>
        <v>46397</v>
      </c>
      <c r="D5" s="52" t="str">
        <f t="shared" ref="D5:D36" si="1">IF(A5="","",IF(COUNTIFS(Feiertage_aktiv,"&gt;="&amp;B5,Feiertage_aktiv,"&lt;="&amp;C5)&gt;=1,INDEX(FT_Name,MATCH(SMALL(Feiertage_aktiv,COUNTIF(Feiertage_aktiv,"&lt;"&amp;B5)+1),Feiertage_aktiv,0)),"")&amp;IF(COUNTIFS(Feiertage_aktiv,"&gt;="&amp;B5,Feiertage_aktiv,"&lt;="&amp;C5)&gt;=2,", "&amp;INDEX(FT_Name,MATCH(SMALL(Feiertage_aktiv,COUNTIF(Feiertage_aktiv,"&lt;"&amp;B5)+2),Feiertage_aktiv,0)),"")&amp;IF(COUNTIFS(Feiertage_aktiv,"&gt;="&amp;B5,Feiertage_aktiv,"&lt;="&amp;C5)&gt;=3,", "&amp;INDEX(FT_Name,MATCH(SMALL(Feiertage_aktiv,COUNTIF(Feiertage_aktiv,"&lt;"&amp;B5)+3),Feiertage_aktiv,0)),"")&amp;IF(COUNTIFS(Feiertage_aktiv,"&gt;="&amp;B5,Feiertage_aktiv,"&lt;="&amp;C5)&gt;=4,", "&amp;INDEX(FT_Name,MATCH(SMALL(Feiertage_aktiv,COUNTIF(Feiertage_aktiv,"&lt;"&amp;B5)+4),Feiertage_aktiv,0)),""))</f>
        <v/>
      </c>
      <c r="E5" s="53">
        <f t="shared" ref="E5:E36" si="2">IF(A5="","",NETWORKDAYS(B5,C5,Feiertage_aktiv))</f>
        <v>5</v>
      </c>
      <c r="F5" s="54"/>
    </row>
    <row r="6" spans="1:6" ht="17.100000000000001" customHeight="1" x14ac:dyDescent="0.25">
      <c r="A6" s="50">
        <f>IF(2&lt;=_xlfn.ISOWEEKNUM(DATE(Jahr,12,28)),2,"")</f>
        <v>2</v>
      </c>
      <c r="B6" s="51">
        <f>IF(A6="","",(DATE(Jahr,1,4)-WEEKDAY(DATE(Jahr,1,4),2)+1)+7)</f>
        <v>46398</v>
      </c>
      <c r="C6" s="51">
        <f t="shared" si="0"/>
        <v>46404</v>
      </c>
      <c r="D6" s="52" t="str">
        <f t="shared" si="1"/>
        <v/>
      </c>
      <c r="E6" s="53">
        <f t="shared" si="2"/>
        <v>5</v>
      </c>
      <c r="F6" s="54"/>
    </row>
    <row r="7" spans="1:6" ht="17.100000000000001" customHeight="1" x14ac:dyDescent="0.25">
      <c r="A7" s="50">
        <f>IF(3&lt;=_xlfn.ISOWEEKNUM(DATE(Jahr,12,28)),3,"")</f>
        <v>3</v>
      </c>
      <c r="B7" s="51">
        <f>IF(A7="","",(DATE(Jahr,1,4)-WEEKDAY(DATE(Jahr,1,4),2)+1)+14)</f>
        <v>46405</v>
      </c>
      <c r="C7" s="51">
        <f t="shared" si="0"/>
        <v>46411</v>
      </c>
      <c r="D7" s="52" t="str">
        <f t="shared" si="1"/>
        <v/>
      </c>
      <c r="E7" s="53">
        <f t="shared" si="2"/>
        <v>5</v>
      </c>
      <c r="F7" s="54"/>
    </row>
    <row r="8" spans="1:6" ht="17.100000000000001" customHeight="1" x14ac:dyDescent="0.25">
      <c r="A8" s="50">
        <f>IF(4&lt;=_xlfn.ISOWEEKNUM(DATE(Jahr,12,28)),4,"")</f>
        <v>4</v>
      </c>
      <c r="B8" s="51">
        <f>IF(A8="","",(DATE(Jahr,1,4)-WEEKDAY(DATE(Jahr,1,4),2)+1)+21)</f>
        <v>46412</v>
      </c>
      <c r="C8" s="51">
        <f t="shared" si="0"/>
        <v>46418</v>
      </c>
      <c r="D8" s="52" t="str">
        <f t="shared" si="1"/>
        <v/>
      </c>
      <c r="E8" s="53">
        <f t="shared" si="2"/>
        <v>5</v>
      </c>
      <c r="F8" s="54"/>
    </row>
    <row r="9" spans="1:6" ht="17.100000000000001" customHeight="1" x14ac:dyDescent="0.25">
      <c r="A9" s="50">
        <f>IF(5&lt;=_xlfn.ISOWEEKNUM(DATE(Jahr,12,28)),5,"")</f>
        <v>5</v>
      </c>
      <c r="B9" s="51">
        <f>IF(A9="","",(DATE(Jahr,1,4)-WEEKDAY(DATE(Jahr,1,4),2)+1)+28)</f>
        <v>46419</v>
      </c>
      <c r="C9" s="51">
        <f t="shared" si="0"/>
        <v>46425</v>
      </c>
      <c r="D9" s="52" t="str">
        <f t="shared" si="1"/>
        <v/>
      </c>
      <c r="E9" s="53">
        <f t="shared" si="2"/>
        <v>5</v>
      </c>
      <c r="F9" s="54"/>
    </row>
    <row r="10" spans="1:6" ht="17.100000000000001" customHeight="1" x14ac:dyDescent="0.25">
      <c r="A10" s="50">
        <f>IF(6&lt;=_xlfn.ISOWEEKNUM(DATE(Jahr,12,28)),6,"")</f>
        <v>6</v>
      </c>
      <c r="B10" s="51">
        <f>IF(A10="","",(DATE(Jahr,1,4)-WEEKDAY(DATE(Jahr,1,4),2)+1)+35)</f>
        <v>46426</v>
      </c>
      <c r="C10" s="51">
        <f t="shared" si="0"/>
        <v>46432</v>
      </c>
      <c r="D10" s="52" t="str">
        <f t="shared" si="1"/>
        <v/>
      </c>
      <c r="E10" s="53">
        <f t="shared" si="2"/>
        <v>5</v>
      </c>
      <c r="F10" s="54"/>
    </row>
    <row r="11" spans="1:6" ht="17.100000000000001" customHeight="1" x14ac:dyDescent="0.25">
      <c r="A11" s="50">
        <f>IF(7&lt;=_xlfn.ISOWEEKNUM(DATE(Jahr,12,28)),7,"")</f>
        <v>7</v>
      </c>
      <c r="B11" s="51">
        <f>IF(A11="","",(DATE(Jahr,1,4)-WEEKDAY(DATE(Jahr,1,4),2)+1)+42)</f>
        <v>46433</v>
      </c>
      <c r="C11" s="51">
        <f t="shared" si="0"/>
        <v>46439</v>
      </c>
      <c r="D11" s="52" t="str">
        <f t="shared" si="1"/>
        <v/>
      </c>
      <c r="E11" s="53">
        <f t="shared" si="2"/>
        <v>5</v>
      </c>
      <c r="F11" s="54"/>
    </row>
    <row r="12" spans="1:6" ht="17.100000000000001" customHeight="1" x14ac:dyDescent="0.25">
      <c r="A12" s="50">
        <f>IF(8&lt;=_xlfn.ISOWEEKNUM(DATE(Jahr,12,28)),8,"")</f>
        <v>8</v>
      </c>
      <c r="B12" s="51">
        <f>IF(A12="","",(DATE(Jahr,1,4)-WEEKDAY(DATE(Jahr,1,4),2)+1)+49)</f>
        <v>46440</v>
      </c>
      <c r="C12" s="51">
        <f t="shared" si="0"/>
        <v>46446</v>
      </c>
      <c r="D12" s="52" t="str">
        <f t="shared" si="1"/>
        <v/>
      </c>
      <c r="E12" s="53">
        <f t="shared" si="2"/>
        <v>5</v>
      </c>
      <c r="F12" s="54"/>
    </row>
    <row r="13" spans="1:6" ht="17.100000000000001" customHeight="1" x14ac:dyDescent="0.25">
      <c r="A13" s="50">
        <f>IF(9&lt;=_xlfn.ISOWEEKNUM(DATE(Jahr,12,28)),9,"")</f>
        <v>9</v>
      </c>
      <c r="B13" s="51">
        <f>IF(A13="","",(DATE(Jahr,1,4)-WEEKDAY(DATE(Jahr,1,4),2)+1)+56)</f>
        <v>46447</v>
      </c>
      <c r="C13" s="51">
        <f t="shared" si="0"/>
        <v>46453</v>
      </c>
      <c r="D13" s="52" t="str">
        <f t="shared" si="1"/>
        <v/>
      </c>
      <c r="E13" s="53">
        <f t="shared" si="2"/>
        <v>5</v>
      </c>
      <c r="F13" s="54"/>
    </row>
    <row r="14" spans="1:6" ht="17.100000000000001" customHeight="1" x14ac:dyDescent="0.25">
      <c r="A14" s="50">
        <f>IF(10&lt;=_xlfn.ISOWEEKNUM(DATE(Jahr,12,28)),10,"")</f>
        <v>10</v>
      </c>
      <c r="B14" s="51">
        <f>IF(A14="","",(DATE(Jahr,1,4)-WEEKDAY(DATE(Jahr,1,4),2)+1)+63)</f>
        <v>46454</v>
      </c>
      <c r="C14" s="51">
        <f t="shared" si="0"/>
        <v>46460</v>
      </c>
      <c r="D14" s="52" t="str">
        <f t="shared" si="1"/>
        <v/>
      </c>
      <c r="E14" s="53">
        <f t="shared" si="2"/>
        <v>5</v>
      </c>
      <c r="F14" s="54"/>
    </row>
    <row r="15" spans="1:6" ht="17.100000000000001" customHeight="1" x14ac:dyDescent="0.25">
      <c r="A15" s="50">
        <f>IF(11&lt;=_xlfn.ISOWEEKNUM(DATE(Jahr,12,28)),11,"")</f>
        <v>11</v>
      </c>
      <c r="B15" s="51">
        <f>IF(A15="","",(DATE(Jahr,1,4)-WEEKDAY(DATE(Jahr,1,4),2)+1)+70)</f>
        <v>46461</v>
      </c>
      <c r="C15" s="51">
        <f t="shared" si="0"/>
        <v>46467</v>
      </c>
      <c r="D15" s="52" t="str">
        <f t="shared" si="1"/>
        <v/>
      </c>
      <c r="E15" s="53">
        <f t="shared" si="2"/>
        <v>5</v>
      </c>
      <c r="F15" s="54"/>
    </row>
    <row r="16" spans="1:6" ht="17.100000000000001" customHeight="1" x14ac:dyDescent="0.25">
      <c r="A16" s="50">
        <f>IF(12&lt;=_xlfn.ISOWEEKNUM(DATE(Jahr,12,28)),12,"")</f>
        <v>12</v>
      </c>
      <c r="B16" s="51">
        <f>IF(A16="","",(DATE(Jahr,1,4)-WEEKDAY(DATE(Jahr,1,4),2)+1)+77)</f>
        <v>46468</v>
      </c>
      <c r="C16" s="51">
        <f t="shared" si="0"/>
        <v>46474</v>
      </c>
      <c r="D16" s="52" t="str">
        <f t="shared" si="1"/>
        <v>Karfreitag</v>
      </c>
      <c r="E16" s="53">
        <f t="shared" si="2"/>
        <v>4</v>
      </c>
      <c r="F16" s="54"/>
    </row>
    <row r="17" spans="1:6" ht="17.100000000000001" customHeight="1" x14ac:dyDescent="0.25">
      <c r="A17" s="50">
        <f>IF(13&lt;=_xlfn.ISOWEEKNUM(DATE(Jahr,12,28)),13,"")</f>
        <v>13</v>
      </c>
      <c r="B17" s="51">
        <f>IF(A17="","",(DATE(Jahr,1,4)-WEEKDAY(DATE(Jahr,1,4),2)+1)+84)</f>
        <v>46475</v>
      </c>
      <c r="C17" s="51">
        <f t="shared" si="0"/>
        <v>46481</v>
      </c>
      <c r="D17" s="52" t="str">
        <f t="shared" si="1"/>
        <v>Ostermontag</v>
      </c>
      <c r="E17" s="53">
        <f t="shared" si="2"/>
        <v>4</v>
      </c>
      <c r="F17" s="54"/>
    </row>
    <row r="18" spans="1:6" ht="17.100000000000001" customHeight="1" x14ac:dyDescent="0.25">
      <c r="A18" s="50">
        <f>IF(14&lt;=_xlfn.ISOWEEKNUM(DATE(Jahr,12,28)),14,"")</f>
        <v>14</v>
      </c>
      <c r="B18" s="51">
        <f>IF(A18="","",(DATE(Jahr,1,4)-WEEKDAY(DATE(Jahr,1,4),2)+1)+91)</f>
        <v>46482</v>
      </c>
      <c r="C18" s="51">
        <f t="shared" si="0"/>
        <v>46488</v>
      </c>
      <c r="D18" s="52" t="str">
        <f t="shared" si="1"/>
        <v/>
      </c>
      <c r="E18" s="53">
        <f t="shared" si="2"/>
        <v>5</v>
      </c>
      <c r="F18" s="54"/>
    </row>
    <row r="19" spans="1:6" ht="17.100000000000001" customHeight="1" x14ac:dyDescent="0.25">
      <c r="A19" s="50">
        <f>IF(15&lt;=_xlfn.ISOWEEKNUM(DATE(Jahr,12,28)),15,"")</f>
        <v>15</v>
      </c>
      <c r="B19" s="51">
        <f>IF(A19="","",(DATE(Jahr,1,4)-WEEKDAY(DATE(Jahr,1,4),2)+1)+98)</f>
        <v>46489</v>
      </c>
      <c r="C19" s="51">
        <f t="shared" si="0"/>
        <v>46495</v>
      </c>
      <c r="D19" s="52" t="str">
        <f t="shared" si="1"/>
        <v/>
      </c>
      <c r="E19" s="53">
        <f t="shared" si="2"/>
        <v>5</v>
      </c>
      <c r="F19" s="54"/>
    </row>
    <row r="20" spans="1:6" ht="17.100000000000001" customHeight="1" x14ac:dyDescent="0.25">
      <c r="A20" s="50">
        <f>IF(16&lt;=_xlfn.ISOWEEKNUM(DATE(Jahr,12,28)),16,"")</f>
        <v>16</v>
      </c>
      <c r="B20" s="51">
        <f>IF(A20="","",(DATE(Jahr,1,4)-WEEKDAY(DATE(Jahr,1,4),2)+1)+105)</f>
        <v>46496</v>
      </c>
      <c r="C20" s="51">
        <f t="shared" si="0"/>
        <v>46502</v>
      </c>
      <c r="D20" s="52" t="str">
        <f t="shared" si="1"/>
        <v/>
      </c>
      <c r="E20" s="53">
        <f t="shared" si="2"/>
        <v>5</v>
      </c>
      <c r="F20" s="54"/>
    </row>
    <row r="21" spans="1:6" ht="17.100000000000001" customHeight="1" x14ac:dyDescent="0.25">
      <c r="A21" s="50">
        <f>IF(17&lt;=_xlfn.ISOWEEKNUM(DATE(Jahr,12,28)),17,"")</f>
        <v>17</v>
      </c>
      <c r="B21" s="51">
        <f>IF(A21="","",(DATE(Jahr,1,4)-WEEKDAY(DATE(Jahr,1,4),2)+1)+112)</f>
        <v>46503</v>
      </c>
      <c r="C21" s="51">
        <f t="shared" si="0"/>
        <v>46509</v>
      </c>
      <c r="D21" s="52" t="str">
        <f t="shared" si="1"/>
        <v>Tag der Arbeit</v>
      </c>
      <c r="E21" s="53">
        <f t="shared" si="2"/>
        <v>5</v>
      </c>
      <c r="F21" s="54"/>
    </row>
    <row r="22" spans="1:6" ht="17.100000000000001" customHeight="1" x14ac:dyDescent="0.25">
      <c r="A22" s="50">
        <f>IF(18&lt;=_xlfn.ISOWEEKNUM(DATE(Jahr,12,28)),18,"")</f>
        <v>18</v>
      </c>
      <c r="B22" s="51">
        <f>IF(A22="","",(DATE(Jahr,1,4)-WEEKDAY(DATE(Jahr,1,4),2)+1)+119)</f>
        <v>46510</v>
      </c>
      <c r="C22" s="51">
        <f t="shared" si="0"/>
        <v>46516</v>
      </c>
      <c r="D22" s="52" t="str">
        <f t="shared" si="1"/>
        <v>Christi Himmelfahrt</v>
      </c>
      <c r="E22" s="53">
        <f t="shared" si="2"/>
        <v>4</v>
      </c>
      <c r="F22" s="54"/>
    </row>
    <row r="23" spans="1:6" ht="17.100000000000001" customHeight="1" x14ac:dyDescent="0.25">
      <c r="A23" s="50">
        <f>IF(19&lt;=_xlfn.ISOWEEKNUM(DATE(Jahr,12,28)),19,"")</f>
        <v>19</v>
      </c>
      <c r="B23" s="51">
        <f>IF(A23="","",(DATE(Jahr,1,4)-WEEKDAY(DATE(Jahr,1,4),2)+1)+126)</f>
        <v>46517</v>
      </c>
      <c r="C23" s="51">
        <f t="shared" si="0"/>
        <v>46523</v>
      </c>
      <c r="D23" s="52" t="str">
        <f t="shared" si="1"/>
        <v/>
      </c>
      <c r="E23" s="53">
        <f t="shared" si="2"/>
        <v>5</v>
      </c>
      <c r="F23" s="54"/>
    </row>
    <row r="24" spans="1:6" ht="17.100000000000001" customHeight="1" x14ac:dyDescent="0.25">
      <c r="A24" s="50">
        <f>IF(20&lt;=_xlfn.ISOWEEKNUM(DATE(Jahr,12,28)),20,"")</f>
        <v>20</v>
      </c>
      <c r="B24" s="51">
        <f>IF(A24="","",(DATE(Jahr,1,4)-WEEKDAY(DATE(Jahr,1,4),2)+1)+133)</f>
        <v>46524</v>
      </c>
      <c r="C24" s="51">
        <f t="shared" si="0"/>
        <v>46530</v>
      </c>
      <c r="D24" s="52" t="str">
        <f t="shared" si="1"/>
        <v>Pfingstmontag</v>
      </c>
      <c r="E24" s="53">
        <f t="shared" si="2"/>
        <v>4</v>
      </c>
      <c r="F24" s="54"/>
    </row>
    <row r="25" spans="1:6" ht="17.100000000000001" customHeight="1" x14ac:dyDescent="0.25">
      <c r="A25" s="50">
        <f>IF(21&lt;=_xlfn.ISOWEEKNUM(DATE(Jahr,12,28)),21,"")</f>
        <v>21</v>
      </c>
      <c r="B25" s="51">
        <f>IF(A25="","",(DATE(Jahr,1,4)-WEEKDAY(DATE(Jahr,1,4),2)+1)+140)</f>
        <v>46531</v>
      </c>
      <c r="C25" s="51">
        <f t="shared" si="0"/>
        <v>46537</v>
      </c>
      <c r="D25" s="52" t="str">
        <f t="shared" si="1"/>
        <v>Fronleichnam</v>
      </c>
      <c r="E25" s="53">
        <f t="shared" si="2"/>
        <v>4</v>
      </c>
      <c r="F25" s="54"/>
    </row>
    <row r="26" spans="1:6" ht="17.100000000000001" customHeight="1" x14ac:dyDescent="0.25">
      <c r="A26" s="50">
        <f>IF(22&lt;=_xlfn.ISOWEEKNUM(DATE(Jahr,12,28)),22,"")</f>
        <v>22</v>
      </c>
      <c r="B26" s="51">
        <f>IF(A26="","",(DATE(Jahr,1,4)-WEEKDAY(DATE(Jahr,1,4),2)+1)+147)</f>
        <v>46538</v>
      </c>
      <c r="C26" s="51">
        <f t="shared" si="0"/>
        <v>46544</v>
      </c>
      <c r="D26" s="52" t="str">
        <f t="shared" si="1"/>
        <v/>
      </c>
      <c r="E26" s="53">
        <f t="shared" si="2"/>
        <v>5</v>
      </c>
      <c r="F26" s="54"/>
    </row>
    <row r="27" spans="1:6" ht="17.100000000000001" customHeight="1" x14ac:dyDescent="0.25">
      <c r="A27" s="50">
        <f>IF(23&lt;=_xlfn.ISOWEEKNUM(DATE(Jahr,12,28)),23,"")</f>
        <v>23</v>
      </c>
      <c r="B27" s="51">
        <f>IF(A27="","",(DATE(Jahr,1,4)-WEEKDAY(DATE(Jahr,1,4),2)+1)+154)</f>
        <v>46545</v>
      </c>
      <c r="C27" s="51">
        <f t="shared" si="0"/>
        <v>46551</v>
      </c>
      <c r="D27" s="52" t="str">
        <f t="shared" si="1"/>
        <v/>
      </c>
      <c r="E27" s="53">
        <f t="shared" si="2"/>
        <v>5</v>
      </c>
      <c r="F27" s="54"/>
    </row>
    <row r="28" spans="1:6" ht="17.100000000000001" customHeight="1" x14ac:dyDescent="0.25">
      <c r="A28" s="50">
        <f>IF(24&lt;=_xlfn.ISOWEEKNUM(DATE(Jahr,12,28)),24,"")</f>
        <v>24</v>
      </c>
      <c r="B28" s="51">
        <f>IF(A28="","",(DATE(Jahr,1,4)-WEEKDAY(DATE(Jahr,1,4),2)+1)+161)</f>
        <v>46552</v>
      </c>
      <c r="C28" s="51">
        <f t="shared" si="0"/>
        <v>46558</v>
      </c>
      <c r="D28" s="52" t="str">
        <f t="shared" si="1"/>
        <v/>
      </c>
      <c r="E28" s="53">
        <f t="shared" si="2"/>
        <v>5</v>
      </c>
      <c r="F28" s="54"/>
    </row>
    <row r="29" spans="1:6" ht="17.100000000000001" customHeight="1" x14ac:dyDescent="0.25">
      <c r="A29" s="50">
        <f>IF(25&lt;=_xlfn.ISOWEEKNUM(DATE(Jahr,12,28)),25,"")</f>
        <v>25</v>
      </c>
      <c r="B29" s="51">
        <f>IF(A29="","",(DATE(Jahr,1,4)-WEEKDAY(DATE(Jahr,1,4),2)+1)+168)</f>
        <v>46559</v>
      </c>
      <c r="C29" s="51">
        <f t="shared" si="0"/>
        <v>46565</v>
      </c>
      <c r="D29" s="52" t="str">
        <f t="shared" si="1"/>
        <v/>
      </c>
      <c r="E29" s="53">
        <f t="shared" si="2"/>
        <v>5</v>
      </c>
      <c r="F29" s="54"/>
    </row>
    <row r="30" spans="1:6" ht="17.100000000000001" customHeight="1" x14ac:dyDescent="0.25">
      <c r="A30" s="50">
        <f>IF(26&lt;=_xlfn.ISOWEEKNUM(DATE(Jahr,12,28)),26,"")</f>
        <v>26</v>
      </c>
      <c r="B30" s="51">
        <f>IF(A30="","",(DATE(Jahr,1,4)-WEEKDAY(DATE(Jahr,1,4),2)+1)+175)</f>
        <v>46566</v>
      </c>
      <c r="C30" s="51">
        <f t="shared" si="0"/>
        <v>46572</v>
      </c>
      <c r="D30" s="52" t="str">
        <f t="shared" si="1"/>
        <v/>
      </c>
      <c r="E30" s="53">
        <f t="shared" si="2"/>
        <v>5</v>
      </c>
      <c r="F30" s="54"/>
    </row>
    <row r="31" spans="1:6" ht="17.100000000000001" customHeight="1" x14ac:dyDescent="0.25">
      <c r="A31" s="50">
        <f>IF(27&lt;=_xlfn.ISOWEEKNUM(DATE(Jahr,12,28)),27,"")</f>
        <v>27</v>
      </c>
      <c r="B31" s="51">
        <f>IF(A31="","",(DATE(Jahr,1,4)-WEEKDAY(DATE(Jahr,1,4),2)+1)+182)</f>
        <v>46573</v>
      </c>
      <c r="C31" s="51">
        <f t="shared" si="0"/>
        <v>46579</v>
      </c>
      <c r="D31" s="52" t="str">
        <f t="shared" si="1"/>
        <v/>
      </c>
      <c r="E31" s="53">
        <f t="shared" si="2"/>
        <v>5</v>
      </c>
      <c r="F31" s="54"/>
    </row>
    <row r="32" spans="1:6" ht="17.100000000000001" customHeight="1" x14ac:dyDescent="0.25">
      <c r="A32" s="50">
        <f>IF(28&lt;=_xlfn.ISOWEEKNUM(DATE(Jahr,12,28)),28,"")</f>
        <v>28</v>
      </c>
      <c r="B32" s="51">
        <f>IF(A32="","",(DATE(Jahr,1,4)-WEEKDAY(DATE(Jahr,1,4),2)+1)+189)</f>
        <v>46580</v>
      </c>
      <c r="C32" s="51">
        <f t="shared" si="0"/>
        <v>46586</v>
      </c>
      <c r="D32" s="52" t="str">
        <f t="shared" si="1"/>
        <v/>
      </c>
      <c r="E32" s="53">
        <f t="shared" si="2"/>
        <v>5</v>
      </c>
      <c r="F32" s="54"/>
    </row>
    <row r="33" spans="1:6" ht="17.100000000000001" customHeight="1" x14ac:dyDescent="0.25">
      <c r="A33" s="50">
        <f>IF(29&lt;=_xlfn.ISOWEEKNUM(DATE(Jahr,12,28)),29,"")</f>
        <v>29</v>
      </c>
      <c r="B33" s="51">
        <f>IF(A33="","",(DATE(Jahr,1,4)-WEEKDAY(DATE(Jahr,1,4),2)+1)+196)</f>
        <v>46587</v>
      </c>
      <c r="C33" s="51">
        <f t="shared" si="0"/>
        <v>46593</v>
      </c>
      <c r="D33" s="52" t="str">
        <f t="shared" si="1"/>
        <v/>
      </c>
      <c r="E33" s="53">
        <f t="shared" si="2"/>
        <v>5</v>
      </c>
      <c r="F33" s="54"/>
    </row>
    <row r="34" spans="1:6" ht="17.100000000000001" customHeight="1" x14ac:dyDescent="0.25">
      <c r="A34" s="50">
        <f>IF(30&lt;=_xlfn.ISOWEEKNUM(DATE(Jahr,12,28)),30,"")</f>
        <v>30</v>
      </c>
      <c r="B34" s="51">
        <f>IF(A34="","",(DATE(Jahr,1,4)-WEEKDAY(DATE(Jahr,1,4),2)+1)+203)</f>
        <v>46594</v>
      </c>
      <c r="C34" s="51">
        <f t="shared" si="0"/>
        <v>46600</v>
      </c>
      <c r="D34" s="52" t="str">
        <f t="shared" si="1"/>
        <v/>
      </c>
      <c r="E34" s="53">
        <f t="shared" si="2"/>
        <v>5</v>
      </c>
      <c r="F34" s="54"/>
    </row>
    <row r="35" spans="1:6" ht="17.100000000000001" customHeight="1" x14ac:dyDescent="0.25">
      <c r="A35" s="50">
        <f>IF(31&lt;=_xlfn.ISOWEEKNUM(DATE(Jahr,12,28)),31,"")</f>
        <v>31</v>
      </c>
      <c r="B35" s="51">
        <f>IF(A35="","",(DATE(Jahr,1,4)-WEEKDAY(DATE(Jahr,1,4),2)+1)+210)</f>
        <v>46601</v>
      </c>
      <c r="C35" s="51">
        <f t="shared" si="0"/>
        <v>46607</v>
      </c>
      <c r="D35" s="52" t="str">
        <f t="shared" si="1"/>
        <v/>
      </c>
      <c r="E35" s="53">
        <f t="shared" si="2"/>
        <v>5</v>
      </c>
      <c r="F35" s="54"/>
    </row>
    <row r="36" spans="1:6" ht="17.100000000000001" customHeight="1" x14ac:dyDescent="0.25">
      <c r="A36" s="50">
        <f>IF(32&lt;=_xlfn.ISOWEEKNUM(DATE(Jahr,12,28)),32,"")</f>
        <v>32</v>
      </c>
      <c r="B36" s="51">
        <f>IF(A36="","",(DATE(Jahr,1,4)-WEEKDAY(DATE(Jahr,1,4),2)+1)+217)</f>
        <v>46608</v>
      </c>
      <c r="C36" s="51">
        <f t="shared" si="0"/>
        <v>46614</v>
      </c>
      <c r="D36" s="52" t="str">
        <f t="shared" si="1"/>
        <v/>
      </c>
      <c r="E36" s="53">
        <f t="shared" si="2"/>
        <v>5</v>
      </c>
      <c r="F36" s="54"/>
    </row>
    <row r="37" spans="1:6" ht="17.100000000000001" customHeight="1" x14ac:dyDescent="0.25">
      <c r="A37" s="50">
        <f>IF(33&lt;=_xlfn.ISOWEEKNUM(DATE(Jahr,12,28)),33,"")</f>
        <v>33</v>
      </c>
      <c r="B37" s="51">
        <f>IF(A37="","",(DATE(Jahr,1,4)-WEEKDAY(DATE(Jahr,1,4),2)+1)+224)</f>
        <v>46615</v>
      </c>
      <c r="C37" s="51">
        <f t="shared" ref="C37:C68" si="3">IF(A37="","",B37+6)</f>
        <v>46621</v>
      </c>
      <c r="D37" s="52" t="str">
        <f t="shared" ref="D37:D68" si="4">IF(A37="","",IF(COUNTIFS(Feiertage_aktiv,"&gt;="&amp;B37,Feiertage_aktiv,"&lt;="&amp;C37)&gt;=1,INDEX(FT_Name,MATCH(SMALL(Feiertage_aktiv,COUNTIF(Feiertage_aktiv,"&lt;"&amp;B37)+1),Feiertage_aktiv,0)),"")&amp;IF(COUNTIFS(Feiertage_aktiv,"&gt;="&amp;B37,Feiertage_aktiv,"&lt;="&amp;C37)&gt;=2,", "&amp;INDEX(FT_Name,MATCH(SMALL(Feiertage_aktiv,COUNTIF(Feiertage_aktiv,"&lt;"&amp;B37)+2),Feiertage_aktiv,0)),"")&amp;IF(COUNTIFS(Feiertage_aktiv,"&gt;="&amp;B37,Feiertage_aktiv,"&lt;="&amp;C37)&gt;=3,", "&amp;INDEX(FT_Name,MATCH(SMALL(Feiertage_aktiv,COUNTIF(Feiertage_aktiv,"&lt;"&amp;B37)+3),Feiertage_aktiv,0)),"")&amp;IF(COUNTIFS(Feiertage_aktiv,"&gt;="&amp;B37,Feiertage_aktiv,"&lt;="&amp;C37)&gt;=4,", "&amp;INDEX(FT_Name,MATCH(SMALL(Feiertage_aktiv,COUNTIF(Feiertage_aktiv,"&lt;"&amp;B37)+4),Feiertage_aktiv,0)),""))</f>
        <v/>
      </c>
      <c r="E37" s="53">
        <f t="shared" ref="E37:E55" si="5">IF(A37="","",NETWORKDAYS(B37,C37,Feiertage_aktiv))</f>
        <v>5</v>
      </c>
      <c r="F37" s="54"/>
    </row>
    <row r="38" spans="1:6" ht="17.100000000000001" customHeight="1" x14ac:dyDescent="0.25">
      <c r="A38" s="50">
        <f>IF(34&lt;=_xlfn.ISOWEEKNUM(DATE(Jahr,12,28)),34,"")</f>
        <v>34</v>
      </c>
      <c r="B38" s="51">
        <f>IF(A38="","",(DATE(Jahr,1,4)-WEEKDAY(DATE(Jahr,1,4),2)+1)+231)</f>
        <v>46622</v>
      </c>
      <c r="C38" s="51">
        <f t="shared" si="3"/>
        <v>46628</v>
      </c>
      <c r="D38" s="52" t="str">
        <f t="shared" si="4"/>
        <v/>
      </c>
      <c r="E38" s="53">
        <f t="shared" si="5"/>
        <v>5</v>
      </c>
      <c r="F38" s="54"/>
    </row>
    <row r="39" spans="1:6" ht="17.100000000000001" customHeight="1" x14ac:dyDescent="0.25">
      <c r="A39" s="50">
        <f>IF(35&lt;=_xlfn.ISOWEEKNUM(DATE(Jahr,12,28)),35,"")</f>
        <v>35</v>
      </c>
      <c r="B39" s="51">
        <f>IF(A39="","",(DATE(Jahr,1,4)-WEEKDAY(DATE(Jahr,1,4),2)+1)+238)</f>
        <v>46629</v>
      </c>
      <c r="C39" s="51">
        <f t="shared" si="3"/>
        <v>46635</v>
      </c>
      <c r="D39" s="52" t="str">
        <f t="shared" si="4"/>
        <v/>
      </c>
      <c r="E39" s="53">
        <f t="shared" si="5"/>
        <v>5</v>
      </c>
      <c r="F39" s="54"/>
    </row>
    <row r="40" spans="1:6" ht="17.100000000000001" customHeight="1" x14ac:dyDescent="0.25">
      <c r="A40" s="50">
        <f>IF(36&lt;=_xlfn.ISOWEEKNUM(DATE(Jahr,12,28)),36,"")</f>
        <v>36</v>
      </c>
      <c r="B40" s="51">
        <f>IF(A40="","",(DATE(Jahr,1,4)-WEEKDAY(DATE(Jahr,1,4),2)+1)+245)</f>
        <v>46636</v>
      </c>
      <c r="C40" s="51">
        <f t="shared" si="3"/>
        <v>46642</v>
      </c>
      <c r="D40" s="52" t="str">
        <f t="shared" si="4"/>
        <v/>
      </c>
      <c r="E40" s="53">
        <f t="shared" si="5"/>
        <v>5</v>
      </c>
      <c r="F40" s="54"/>
    </row>
    <row r="41" spans="1:6" ht="17.100000000000001" customHeight="1" x14ac:dyDescent="0.25">
      <c r="A41" s="50">
        <f>IF(37&lt;=_xlfn.ISOWEEKNUM(DATE(Jahr,12,28)),37,"")</f>
        <v>37</v>
      </c>
      <c r="B41" s="51">
        <f>IF(A41="","",(DATE(Jahr,1,4)-WEEKDAY(DATE(Jahr,1,4),2)+1)+252)</f>
        <v>46643</v>
      </c>
      <c r="C41" s="51">
        <f t="shared" si="3"/>
        <v>46649</v>
      </c>
      <c r="D41" s="52" t="str">
        <f t="shared" si="4"/>
        <v/>
      </c>
      <c r="E41" s="53">
        <f t="shared" si="5"/>
        <v>5</v>
      </c>
      <c r="F41" s="54"/>
    </row>
    <row r="42" spans="1:6" ht="17.100000000000001" customHeight="1" x14ac:dyDescent="0.25">
      <c r="A42" s="50">
        <f>IF(38&lt;=_xlfn.ISOWEEKNUM(DATE(Jahr,12,28)),38,"")</f>
        <v>38</v>
      </c>
      <c r="B42" s="51">
        <f>IF(A42="","",(DATE(Jahr,1,4)-WEEKDAY(DATE(Jahr,1,4),2)+1)+259)</f>
        <v>46650</v>
      </c>
      <c r="C42" s="51">
        <f t="shared" si="3"/>
        <v>46656</v>
      </c>
      <c r="D42" s="52" t="str">
        <f t="shared" si="4"/>
        <v/>
      </c>
      <c r="E42" s="53">
        <f t="shared" si="5"/>
        <v>5</v>
      </c>
      <c r="F42" s="54"/>
    </row>
    <row r="43" spans="1:6" ht="17.100000000000001" customHeight="1" x14ac:dyDescent="0.25">
      <c r="A43" s="50">
        <f>IF(39&lt;=_xlfn.ISOWEEKNUM(DATE(Jahr,12,28)),39,"")</f>
        <v>39</v>
      </c>
      <c r="B43" s="51">
        <f>IF(A43="","",(DATE(Jahr,1,4)-WEEKDAY(DATE(Jahr,1,4),2)+1)+266)</f>
        <v>46657</v>
      </c>
      <c r="C43" s="51">
        <f t="shared" si="3"/>
        <v>46663</v>
      </c>
      <c r="D43" s="52" t="str">
        <f t="shared" si="4"/>
        <v>Tag der Deutschen Einheit</v>
      </c>
      <c r="E43" s="53">
        <f t="shared" si="5"/>
        <v>5</v>
      </c>
      <c r="F43" s="54"/>
    </row>
    <row r="44" spans="1:6" ht="17.100000000000001" customHeight="1" x14ac:dyDescent="0.25">
      <c r="A44" s="50">
        <f>IF(40&lt;=_xlfn.ISOWEEKNUM(DATE(Jahr,12,28)),40,"")</f>
        <v>40</v>
      </c>
      <c r="B44" s="51">
        <f>IF(A44="","",(DATE(Jahr,1,4)-WEEKDAY(DATE(Jahr,1,4),2)+1)+273)</f>
        <v>46664</v>
      </c>
      <c r="C44" s="51">
        <f t="shared" si="3"/>
        <v>46670</v>
      </c>
      <c r="D44" s="52" t="str">
        <f t="shared" si="4"/>
        <v/>
      </c>
      <c r="E44" s="53">
        <f t="shared" si="5"/>
        <v>5</v>
      </c>
      <c r="F44" s="54"/>
    </row>
    <row r="45" spans="1:6" ht="17.100000000000001" customHeight="1" x14ac:dyDescent="0.25">
      <c r="A45" s="50">
        <f>IF(41&lt;=_xlfn.ISOWEEKNUM(DATE(Jahr,12,28)),41,"")</f>
        <v>41</v>
      </c>
      <c r="B45" s="51">
        <f>IF(A45="","",(DATE(Jahr,1,4)-WEEKDAY(DATE(Jahr,1,4),2)+1)+280)</f>
        <v>46671</v>
      </c>
      <c r="C45" s="51">
        <f t="shared" si="3"/>
        <v>46677</v>
      </c>
      <c r="D45" s="52" t="str">
        <f t="shared" si="4"/>
        <v/>
      </c>
      <c r="E45" s="53">
        <f t="shared" si="5"/>
        <v>5</v>
      </c>
      <c r="F45" s="54"/>
    </row>
    <row r="46" spans="1:6" ht="17.100000000000001" customHeight="1" x14ac:dyDescent="0.25">
      <c r="A46" s="50">
        <f>IF(42&lt;=_xlfn.ISOWEEKNUM(DATE(Jahr,12,28)),42,"")</f>
        <v>42</v>
      </c>
      <c r="B46" s="51">
        <f>IF(A46="","",(DATE(Jahr,1,4)-WEEKDAY(DATE(Jahr,1,4),2)+1)+287)</f>
        <v>46678</v>
      </c>
      <c r="C46" s="51">
        <f t="shared" si="3"/>
        <v>46684</v>
      </c>
      <c r="D46" s="52" t="str">
        <f t="shared" si="4"/>
        <v/>
      </c>
      <c r="E46" s="53">
        <f t="shared" si="5"/>
        <v>5</v>
      </c>
      <c r="F46" s="54"/>
    </row>
    <row r="47" spans="1:6" ht="17.100000000000001" customHeight="1" x14ac:dyDescent="0.25">
      <c r="A47" s="50">
        <f>IF(43&lt;=_xlfn.ISOWEEKNUM(DATE(Jahr,12,28)),43,"")</f>
        <v>43</v>
      </c>
      <c r="B47" s="51">
        <f>IF(A47="","",(DATE(Jahr,1,4)-WEEKDAY(DATE(Jahr,1,4),2)+1)+294)</f>
        <v>46685</v>
      </c>
      <c r="C47" s="51">
        <f t="shared" si="3"/>
        <v>46691</v>
      </c>
      <c r="D47" s="52" t="str">
        <f t="shared" si="4"/>
        <v/>
      </c>
      <c r="E47" s="53">
        <f t="shared" si="5"/>
        <v>5</v>
      </c>
      <c r="F47" s="54"/>
    </row>
    <row r="48" spans="1:6" ht="17.100000000000001" customHeight="1" x14ac:dyDescent="0.25">
      <c r="A48" s="50">
        <f>IF(44&lt;=_xlfn.ISOWEEKNUM(DATE(Jahr,12,28)),44,"")</f>
        <v>44</v>
      </c>
      <c r="B48" s="51">
        <f>IF(A48="","",(DATE(Jahr,1,4)-WEEKDAY(DATE(Jahr,1,4),2)+1)+301)</f>
        <v>46692</v>
      </c>
      <c r="C48" s="51">
        <f t="shared" si="3"/>
        <v>46698</v>
      </c>
      <c r="D48" s="52" t="str">
        <f t="shared" si="4"/>
        <v>Allerheiligen</v>
      </c>
      <c r="E48" s="53">
        <f t="shared" si="5"/>
        <v>4</v>
      </c>
      <c r="F48" s="54"/>
    </row>
    <row r="49" spans="1:6" ht="17.100000000000001" customHeight="1" x14ac:dyDescent="0.25">
      <c r="A49" s="50">
        <f>IF(45&lt;=_xlfn.ISOWEEKNUM(DATE(Jahr,12,28)),45,"")</f>
        <v>45</v>
      </c>
      <c r="B49" s="51">
        <f>IF(A49="","",(DATE(Jahr,1,4)-WEEKDAY(DATE(Jahr,1,4),2)+1)+308)</f>
        <v>46699</v>
      </c>
      <c r="C49" s="51">
        <f t="shared" si="3"/>
        <v>46705</v>
      </c>
      <c r="D49" s="52" t="str">
        <f t="shared" si="4"/>
        <v/>
      </c>
      <c r="E49" s="53">
        <f t="shared" si="5"/>
        <v>5</v>
      </c>
      <c r="F49" s="54"/>
    </row>
    <row r="50" spans="1:6" ht="17.100000000000001" customHeight="1" x14ac:dyDescent="0.25">
      <c r="A50" s="50">
        <f>IF(46&lt;=_xlfn.ISOWEEKNUM(DATE(Jahr,12,28)),46,"")</f>
        <v>46</v>
      </c>
      <c r="B50" s="51">
        <f>IF(A50="","",(DATE(Jahr,1,4)-WEEKDAY(DATE(Jahr,1,4),2)+1)+315)</f>
        <v>46706</v>
      </c>
      <c r="C50" s="51">
        <f t="shared" si="3"/>
        <v>46712</v>
      </c>
      <c r="D50" s="52" t="str">
        <f t="shared" si="4"/>
        <v/>
      </c>
      <c r="E50" s="53">
        <f t="shared" si="5"/>
        <v>5</v>
      </c>
      <c r="F50" s="54"/>
    </row>
    <row r="51" spans="1:6" ht="17.100000000000001" customHeight="1" x14ac:dyDescent="0.25">
      <c r="A51" s="50">
        <f>IF(47&lt;=_xlfn.ISOWEEKNUM(DATE(Jahr,12,28)),47,"")</f>
        <v>47</v>
      </c>
      <c r="B51" s="51">
        <f>IF(A51="","",(DATE(Jahr,1,4)-WEEKDAY(DATE(Jahr,1,4),2)+1)+322)</f>
        <v>46713</v>
      </c>
      <c r="C51" s="51">
        <f t="shared" si="3"/>
        <v>46719</v>
      </c>
      <c r="D51" s="52" t="str">
        <f t="shared" si="4"/>
        <v/>
      </c>
      <c r="E51" s="53">
        <f t="shared" si="5"/>
        <v>5</v>
      </c>
      <c r="F51" s="54"/>
    </row>
    <row r="52" spans="1:6" ht="17.100000000000001" customHeight="1" x14ac:dyDescent="0.25">
      <c r="A52" s="50">
        <f>IF(48&lt;=_xlfn.ISOWEEKNUM(DATE(Jahr,12,28)),48,"")</f>
        <v>48</v>
      </c>
      <c r="B52" s="51">
        <f>IF(A52="","",(DATE(Jahr,1,4)-WEEKDAY(DATE(Jahr,1,4),2)+1)+329)</f>
        <v>46720</v>
      </c>
      <c r="C52" s="51">
        <f t="shared" si="3"/>
        <v>46726</v>
      </c>
      <c r="D52" s="52" t="str">
        <f t="shared" si="4"/>
        <v/>
      </c>
      <c r="E52" s="53">
        <f t="shared" si="5"/>
        <v>5</v>
      </c>
      <c r="F52" s="54"/>
    </row>
    <row r="53" spans="1:6" ht="17.100000000000001" customHeight="1" x14ac:dyDescent="0.25">
      <c r="A53" s="50">
        <f>IF(49&lt;=_xlfn.ISOWEEKNUM(DATE(Jahr,12,28)),49,"")</f>
        <v>49</v>
      </c>
      <c r="B53" s="51">
        <f>IF(A53="","",(DATE(Jahr,1,4)-WEEKDAY(DATE(Jahr,1,4),2)+1)+336)</f>
        <v>46727</v>
      </c>
      <c r="C53" s="51">
        <f t="shared" si="3"/>
        <v>46733</v>
      </c>
      <c r="D53" s="52" t="str">
        <f t="shared" si="4"/>
        <v/>
      </c>
      <c r="E53" s="53">
        <f t="shared" si="5"/>
        <v>5</v>
      </c>
      <c r="F53" s="54"/>
    </row>
    <row r="54" spans="1:6" ht="17.100000000000001" customHeight="1" x14ac:dyDescent="0.25">
      <c r="A54" s="50">
        <f>IF(50&lt;=_xlfn.ISOWEEKNUM(DATE(Jahr,12,28)),50,"")</f>
        <v>50</v>
      </c>
      <c r="B54" s="51">
        <f>IF(A54="","",(DATE(Jahr,1,4)-WEEKDAY(DATE(Jahr,1,4),2)+1)+343)</f>
        <v>46734</v>
      </c>
      <c r="C54" s="51">
        <f t="shared" si="3"/>
        <v>46740</v>
      </c>
      <c r="D54" s="52" t="str">
        <f t="shared" si="4"/>
        <v/>
      </c>
      <c r="E54" s="53">
        <f t="shared" si="5"/>
        <v>5</v>
      </c>
      <c r="F54" s="54"/>
    </row>
    <row r="55" spans="1:6" ht="17.100000000000001" customHeight="1" x14ac:dyDescent="0.25">
      <c r="A55" s="50">
        <f>IF(51&lt;=_xlfn.ISOWEEKNUM(DATE(Jahr,12,28)),51,"")</f>
        <v>51</v>
      </c>
      <c r="B55" s="51">
        <f>IF(A55="","",(DATE(Jahr,1,4)-WEEKDAY(DATE(Jahr,1,4),2)+1)+350)</f>
        <v>46741</v>
      </c>
      <c r="C55" s="51">
        <f t="shared" si="3"/>
        <v>46747</v>
      </c>
      <c r="D55" s="52" t="str">
        <f t="shared" si="4"/>
        <v>1. Weihnachtstag, 2. Weihnachtstag</v>
      </c>
      <c r="E55" s="53">
        <f t="shared" si="5"/>
        <v>5</v>
      </c>
      <c r="F55" s="54"/>
    </row>
    <row r="56" spans="1:6" ht="17.100000000000001" customHeight="1" x14ac:dyDescent="0.25">
      <c r="A56" s="50">
        <f>IF(52&lt;=_xlfn.ISOWEEKNUM(DATE(Jahr,12,28)),52,"")</f>
        <v>52</v>
      </c>
      <c r="B56" s="51">
        <f>IF(A56="","",(DATE(Jahr,1,4)-WEEKDAY(DATE(Jahr,1,4),2)+1)+357)</f>
        <v>46748</v>
      </c>
      <c r="C56" s="51">
        <f t="shared" si="3"/>
        <v>46754</v>
      </c>
      <c r="D56" s="52" t="str">
        <f>IF(A56="","",IF(COUNTIFS(Feiertage_aktiv,"&gt;="&amp;B56,Feiertage_aktiv,"&lt;="&amp;C56)&gt;=1,INDEX(FT_Name,MATCH(SMALL(Feiertage_aktiv,COUNTIF(Feiertage_aktiv,"&lt;"&amp;B56)+1),Feiertage_aktiv,0)),"")&amp;IF(COUNTIFS(Feiertage_aktiv,"&gt;="&amp;B56,Feiertage_aktiv,"&lt;="&amp;C56)&gt;=2,", "&amp;INDEX(FT_Name,MATCH(SMALL(Feiertage_aktiv,COUNTIF(Feiertage_aktiv,"&lt;"&amp;B56)+2),Feiertage_aktiv,0)),"")&amp;IF(COUNTIFS(Feiertage_aktiv,"&gt;="&amp;B56,Feiertage_aktiv,"&lt;="&amp;C56)&gt;=3,", "&amp;INDEX(FT_Name,MATCH(SMALL(Feiertage_aktiv,COUNTIF(Feiertage_aktiv,"&lt;"&amp;B56)+3),Feiertage_aktiv,0)),"")&amp;IF(COUNTIFS(Feiertage_aktiv,"&gt;="&amp;B56,Feiertage_aktiv,"&lt;="&amp;C56)&gt;=4,", "&amp;INDEX(FT_Name,MATCH(SMALL(Feiertage_aktiv,COUNTIF(Feiertage_aktiv,"&lt;"&amp;B56)+4),Feiertage_aktiv,0)),"")&amp;IF(C56&gt;=DATE(Jahr+1,1,1),IF(COUNTIFS(Feiertage_aktiv,"&gt;="&amp;B56,Feiertage_aktiv,"&lt;="&amp;C56)&gt;=1,", ","")&amp;"Neujahr "&amp;(Jahr+1),""))</f>
        <v>Neujahr 2028</v>
      </c>
      <c r="E56" s="53">
        <f>IF(A56="","",NETWORKDAYS(B56,C56,Feiertage_aktiv)-IF(C56&gt;=DATE(Jahr+1,1,1),(WEEKDAY(DATE(Jahr+1,1,1),2)&lt;6)*1,0))</f>
        <v>5</v>
      </c>
      <c r="F56" s="54"/>
    </row>
    <row r="57" spans="1:6" ht="17.100000000000001" customHeight="1" x14ac:dyDescent="0.25">
      <c r="A57" s="55" t="str">
        <f>IF(53&lt;=_xlfn.ISOWEEKNUM(DATE(Jahr,12,28)),53,"")</f>
        <v/>
      </c>
      <c r="B57" s="56" t="str">
        <f>IF(A57="","",(DATE(Jahr,1,4)-WEEKDAY(DATE(Jahr,1,4),2)+1)+364)</f>
        <v/>
      </c>
      <c r="C57" s="56" t="str">
        <f t="shared" si="3"/>
        <v/>
      </c>
      <c r="D57" s="57" t="str">
        <f>IF(A57="","",IF(COUNTIFS(Feiertage_aktiv,"&gt;="&amp;B57,Feiertage_aktiv,"&lt;="&amp;C57)&gt;=1,INDEX(FT_Name,MATCH(SMALL(Feiertage_aktiv,COUNTIF(Feiertage_aktiv,"&lt;"&amp;B57)+1),Feiertage_aktiv,0)),"")&amp;IF(COUNTIFS(Feiertage_aktiv,"&gt;="&amp;B57,Feiertage_aktiv,"&lt;="&amp;C57)&gt;=2,", "&amp;INDEX(FT_Name,MATCH(SMALL(Feiertage_aktiv,COUNTIF(Feiertage_aktiv,"&lt;"&amp;B57)+2),Feiertage_aktiv,0)),"")&amp;IF(COUNTIFS(Feiertage_aktiv,"&gt;="&amp;B57,Feiertage_aktiv,"&lt;="&amp;C57)&gt;=3,", "&amp;INDEX(FT_Name,MATCH(SMALL(Feiertage_aktiv,COUNTIF(Feiertage_aktiv,"&lt;"&amp;B57)+3),Feiertage_aktiv,0)),"")&amp;IF(COUNTIFS(Feiertage_aktiv,"&gt;="&amp;B57,Feiertage_aktiv,"&lt;="&amp;C57)&gt;=4,", "&amp;INDEX(FT_Name,MATCH(SMALL(Feiertage_aktiv,COUNTIF(Feiertage_aktiv,"&lt;"&amp;B57)+4),Feiertage_aktiv,0)),"")&amp;IF(C57&gt;=DATE(Jahr+1,1,1),IF(COUNTIFS(Feiertage_aktiv,"&gt;="&amp;B57,Feiertage_aktiv,"&lt;="&amp;C57)&gt;=1,", ","")&amp;"Neujahr "&amp;(Jahr+1),""))</f>
        <v/>
      </c>
      <c r="E57" s="58" t="str">
        <f>IF(A57="","",NETWORKDAYS(B57,C57,Feiertage_aktiv)-IF(C57&gt;=DATE(Jahr+1,1,1),(WEEKDAY(DATE(Jahr+1,1,1),2)&lt;6)*1,0))</f>
        <v/>
      </c>
      <c r="F57" s="59"/>
    </row>
  </sheetData>
  <conditionalFormatting sqref="A5:F57">
    <cfRule type="expression" dxfId="4" priority="1">
      <formula>MOD($A5,2)=0</formula>
    </cfRule>
  </conditionalFormatting>
  <conditionalFormatting sqref="A57:F57">
    <cfRule type="expression" dxfId="3" priority="2">
      <formula>$A57&lt;&gt;""</formula>
    </cfRule>
  </conditionalFormatting>
  <printOptions horizontalCentered="1"/>
  <pageMargins left="0.4" right="0.4" top="0.45" bottom="0.55000000000000004" header="0.2" footer="0.25"/>
  <pageSetup paperSize="9" orientation="portrait"/>
  <headerFooter>
    <oddFooter>&amp;C&amp;8 &amp;K686E70Vorlage von seminaron.de&amp;R&amp;8 &amp;K686E70&amp;A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8A1F2B"/>
    <pageSetUpPr fitToPage="1"/>
  </sheetPr>
  <dimension ref="A1:V40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6" customWidth="1"/>
    <col min="2" max="2" width="12" customWidth="1"/>
    <col min="3" max="19" width="4.28515625" customWidth="1"/>
    <col min="20" max="20" width="13" customWidth="1"/>
    <col min="21" max="21" width="11" customWidth="1"/>
    <col min="22" max="22" width="66" customWidth="1"/>
  </cols>
  <sheetData>
    <row r="1" spans="1:22" ht="23.25" x14ac:dyDescent="0.35">
      <c r="A1" s="60" t="str">
        <f>"Gesetzliche Feiertage "&amp;Jahr</f>
        <v>Gesetzliche Feiertage 2027</v>
      </c>
    </row>
    <row r="2" spans="1:22" x14ac:dyDescent="0.25">
      <c r="A2" s="20" t="str">
        <f>"Ausgewählt: "&amp;Bundesland&amp;". 1 = gesetzlicher Feiertag im Land. Die Werte können Sie für Ihren Betrieb anpassen."</f>
        <v>Ausgewählt: Nordrhein-Westfalen. 1 = gesetzlicher Feiertag im Land. Die Werte können Sie für Ihren Betrieb anpassen.</v>
      </c>
    </row>
    <row r="3" spans="1:22" x14ac:dyDescent="0.25">
      <c r="A3" s="61" t="s">
        <v>33</v>
      </c>
      <c r="B3" s="62">
        <f>FLOOR(DATE(Jahr,5,DAY(MINUTE(Jahr/38)/2+56)),7)-34</f>
        <v>46474</v>
      </c>
      <c r="C3" s="12" t="s">
        <v>65</v>
      </c>
    </row>
    <row r="4" spans="1:22" ht="122.1" customHeight="1" x14ac:dyDescent="0.25">
      <c r="A4" s="63" t="s">
        <v>23</v>
      </c>
      <c r="B4" s="63" t="s">
        <v>66</v>
      </c>
      <c r="C4" s="64" t="s">
        <v>67</v>
      </c>
      <c r="D4" s="64" t="s">
        <v>68</v>
      </c>
      <c r="E4" s="64" t="s">
        <v>69</v>
      </c>
      <c r="F4" s="64" t="s">
        <v>70</v>
      </c>
      <c r="G4" s="64" t="s">
        <v>71</v>
      </c>
      <c r="H4" s="64" t="s">
        <v>72</v>
      </c>
      <c r="I4" s="64" t="s">
        <v>73</v>
      </c>
      <c r="J4" s="64" t="s">
        <v>74</v>
      </c>
      <c r="K4" s="64" t="s">
        <v>75</v>
      </c>
      <c r="L4" s="64" t="s">
        <v>2</v>
      </c>
      <c r="M4" s="64" t="s">
        <v>76</v>
      </c>
      <c r="N4" s="64" t="s">
        <v>77</v>
      </c>
      <c r="O4" s="64" t="s">
        <v>78</v>
      </c>
      <c r="P4" s="64" t="s">
        <v>79</v>
      </c>
      <c r="Q4" s="64" t="s">
        <v>80</v>
      </c>
      <c r="R4" s="64" t="s">
        <v>81</v>
      </c>
      <c r="S4" s="64" t="s">
        <v>82</v>
      </c>
      <c r="T4" s="63" t="s">
        <v>83</v>
      </c>
      <c r="U4" s="63" t="s">
        <v>84</v>
      </c>
      <c r="V4" s="63" t="s">
        <v>85</v>
      </c>
    </row>
    <row r="5" spans="1:22" x14ac:dyDescent="0.25">
      <c r="A5" s="54" t="s">
        <v>86</v>
      </c>
      <c r="B5" s="65">
        <f>DATE(Jahr,1,1)</f>
        <v>46388</v>
      </c>
      <c r="C5" s="66">
        <v>1</v>
      </c>
      <c r="D5" s="66">
        <v>1</v>
      </c>
      <c r="E5" s="66">
        <v>1</v>
      </c>
      <c r="F5" s="66">
        <v>1</v>
      </c>
      <c r="G5" s="66">
        <v>1</v>
      </c>
      <c r="H5" s="66">
        <v>1</v>
      </c>
      <c r="I5" s="66">
        <v>1</v>
      </c>
      <c r="J5" s="66">
        <v>1</v>
      </c>
      <c r="K5" s="66">
        <v>1</v>
      </c>
      <c r="L5" s="66">
        <v>1</v>
      </c>
      <c r="M5" s="66">
        <v>1</v>
      </c>
      <c r="N5" s="66">
        <v>1</v>
      </c>
      <c r="O5" s="66">
        <v>1</v>
      </c>
      <c r="P5" s="66">
        <v>1</v>
      </c>
      <c r="Q5" s="66">
        <v>1</v>
      </c>
      <c r="R5" s="66">
        <v>1</v>
      </c>
      <c r="S5" s="66">
        <v>0</v>
      </c>
      <c r="T5" s="67">
        <f>IF(OR(INDEX(C5:R5,MATCH(Bundesland,$C$4:$R$4,0))=1,S5=1),B5,0)</f>
        <v>46388</v>
      </c>
      <c r="U5" s="68">
        <f t="shared" ref="U5:U26" si="0">B5</f>
        <v>46388</v>
      </c>
      <c r="V5" s="69"/>
    </row>
    <row r="6" spans="1:22" x14ac:dyDescent="0.25">
      <c r="A6" s="54" t="s">
        <v>87</v>
      </c>
      <c r="B6" s="65">
        <f>DATE(Jahr,1,6)</f>
        <v>46393</v>
      </c>
      <c r="C6" s="66">
        <v>1</v>
      </c>
      <c r="D6" s="66">
        <v>1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v>1</v>
      </c>
      <c r="Q6" s="66">
        <v>0</v>
      </c>
      <c r="R6" s="66">
        <v>0</v>
      </c>
      <c r="S6" s="66">
        <v>0</v>
      </c>
      <c r="T6" s="67">
        <f>IF(OR(INDEX(C6:R6,MATCH(Bundesland,$C$4:$R$4,0))=1,S6=1),B6,0)</f>
        <v>0</v>
      </c>
      <c r="U6" s="68">
        <f t="shared" si="0"/>
        <v>46393</v>
      </c>
      <c r="V6" s="69"/>
    </row>
    <row r="7" spans="1:22" x14ac:dyDescent="0.25">
      <c r="A7" s="54" t="s">
        <v>88</v>
      </c>
      <c r="B7" s="65">
        <f>DATE(Jahr,3,8)</f>
        <v>46454</v>
      </c>
      <c r="C7" s="66">
        <v>0</v>
      </c>
      <c r="D7" s="66">
        <v>0</v>
      </c>
      <c r="E7" s="66">
        <v>1</v>
      </c>
      <c r="F7" s="66">
        <v>0</v>
      </c>
      <c r="G7" s="66">
        <v>0</v>
      </c>
      <c r="H7" s="66">
        <v>0</v>
      </c>
      <c r="I7" s="66">
        <v>0</v>
      </c>
      <c r="J7" s="66">
        <v>1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v>0</v>
      </c>
      <c r="Q7" s="66">
        <v>0</v>
      </c>
      <c r="R7" s="66">
        <v>0</v>
      </c>
      <c r="S7" s="66">
        <v>0</v>
      </c>
      <c r="T7" s="67">
        <f>IF(OR(INDEX(C7:R7,MATCH(Bundesland,$C$4:$R$4,0))=1,S7=1),B7,0)</f>
        <v>0</v>
      </c>
      <c r="U7" s="68">
        <f t="shared" si="0"/>
        <v>46454</v>
      </c>
      <c r="V7" s="69"/>
    </row>
    <row r="8" spans="1:22" x14ac:dyDescent="0.25">
      <c r="A8" s="54" t="s">
        <v>89</v>
      </c>
      <c r="B8" s="65">
        <f>Ostern-2</f>
        <v>46472</v>
      </c>
      <c r="C8" s="66">
        <v>1</v>
      </c>
      <c r="D8" s="66">
        <v>1</v>
      </c>
      <c r="E8" s="66">
        <v>1</v>
      </c>
      <c r="F8" s="66">
        <v>1</v>
      </c>
      <c r="G8" s="66">
        <v>1</v>
      </c>
      <c r="H8" s="66">
        <v>1</v>
      </c>
      <c r="I8" s="66">
        <v>1</v>
      </c>
      <c r="J8" s="66">
        <v>1</v>
      </c>
      <c r="K8" s="66">
        <v>1</v>
      </c>
      <c r="L8" s="66">
        <v>1</v>
      </c>
      <c r="M8" s="66">
        <v>1</v>
      </c>
      <c r="N8" s="66">
        <v>1</v>
      </c>
      <c r="O8" s="66">
        <v>1</v>
      </c>
      <c r="P8" s="66">
        <v>1</v>
      </c>
      <c r="Q8" s="66">
        <v>1</v>
      </c>
      <c r="R8" s="66">
        <v>1</v>
      </c>
      <c r="S8" s="66">
        <v>0</v>
      </c>
      <c r="T8" s="67">
        <f>IF(OR(INDEX(C8:R8,MATCH(Bundesland,$C$4:$R$4,0))=1,S8=1),B8,0)</f>
        <v>46472</v>
      </c>
      <c r="U8" s="68">
        <f t="shared" si="0"/>
        <v>46472</v>
      </c>
      <c r="V8" s="69"/>
    </row>
    <row r="9" spans="1:22" x14ac:dyDescent="0.25">
      <c r="A9" s="54" t="s">
        <v>33</v>
      </c>
      <c r="B9" s="65">
        <f>Ostern</f>
        <v>46474</v>
      </c>
      <c r="C9" s="66">
        <v>0</v>
      </c>
      <c r="D9" s="66">
        <v>0</v>
      </c>
      <c r="E9" s="66">
        <v>0</v>
      </c>
      <c r="F9" s="66">
        <v>1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v>0</v>
      </c>
      <c r="Q9" s="66">
        <v>0</v>
      </c>
      <c r="R9" s="66">
        <v>0</v>
      </c>
      <c r="S9" s="66">
        <v>0</v>
      </c>
      <c r="T9" s="67">
        <f>IF(OR(INDEX(C9:R9,MATCH(Bundesland,$C$4:$R$4,0))=1,S9=1),B9,0)</f>
        <v>0</v>
      </c>
      <c r="U9" s="68">
        <f t="shared" si="0"/>
        <v>46474</v>
      </c>
      <c r="V9" s="69" t="s">
        <v>90</v>
      </c>
    </row>
    <row r="10" spans="1:22" x14ac:dyDescent="0.25">
      <c r="A10" s="54" t="s">
        <v>91</v>
      </c>
      <c r="B10" s="65">
        <f>Ostern+1</f>
        <v>46475</v>
      </c>
      <c r="C10" s="66">
        <v>1</v>
      </c>
      <c r="D10" s="66">
        <v>1</v>
      </c>
      <c r="E10" s="66">
        <v>1</v>
      </c>
      <c r="F10" s="66">
        <v>1</v>
      </c>
      <c r="G10" s="66">
        <v>1</v>
      </c>
      <c r="H10" s="66">
        <v>1</v>
      </c>
      <c r="I10" s="66">
        <v>1</v>
      </c>
      <c r="J10" s="66">
        <v>1</v>
      </c>
      <c r="K10" s="66">
        <v>1</v>
      </c>
      <c r="L10" s="66">
        <v>1</v>
      </c>
      <c r="M10" s="66">
        <v>1</v>
      </c>
      <c r="N10" s="66">
        <v>1</v>
      </c>
      <c r="O10" s="66">
        <v>1</v>
      </c>
      <c r="P10" s="66">
        <v>1</v>
      </c>
      <c r="Q10" s="66">
        <v>1</v>
      </c>
      <c r="R10" s="66">
        <v>1</v>
      </c>
      <c r="S10" s="66">
        <v>0</v>
      </c>
      <c r="T10" s="67">
        <f>IF(OR(INDEX(C10:R10,MATCH(Bundesland,$C$4:$R$4,0))=1,S10=1),B10,0)</f>
        <v>46475</v>
      </c>
      <c r="U10" s="68">
        <f t="shared" si="0"/>
        <v>46475</v>
      </c>
      <c r="V10" s="69"/>
    </row>
    <row r="11" spans="1:22" x14ac:dyDescent="0.25">
      <c r="A11" s="54" t="s">
        <v>92</v>
      </c>
      <c r="B11" s="65">
        <f>DATE(Jahr,5,1)</f>
        <v>46508</v>
      </c>
      <c r="C11" s="66">
        <v>1</v>
      </c>
      <c r="D11" s="66">
        <v>1</v>
      </c>
      <c r="E11" s="66">
        <v>1</v>
      </c>
      <c r="F11" s="66">
        <v>1</v>
      </c>
      <c r="G11" s="66">
        <v>1</v>
      </c>
      <c r="H11" s="66">
        <v>1</v>
      </c>
      <c r="I11" s="66">
        <v>1</v>
      </c>
      <c r="J11" s="66">
        <v>1</v>
      </c>
      <c r="K11" s="66">
        <v>1</v>
      </c>
      <c r="L11" s="66">
        <v>1</v>
      </c>
      <c r="M11" s="66">
        <v>1</v>
      </c>
      <c r="N11" s="66">
        <v>1</v>
      </c>
      <c r="O11" s="66">
        <v>1</v>
      </c>
      <c r="P11" s="66">
        <v>1</v>
      </c>
      <c r="Q11" s="66">
        <v>1</v>
      </c>
      <c r="R11" s="66">
        <v>1</v>
      </c>
      <c r="S11" s="66">
        <v>0</v>
      </c>
      <c r="T11" s="67">
        <f>IF(OR(INDEX(C11:R11,MATCH(Bundesland,$C$4:$R$4,0))=1,S11=1),B11,0)</f>
        <v>46508</v>
      </c>
      <c r="U11" s="68">
        <f t="shared" si="0"/>
        <v>46508</v>
      </c>
      <c r="V11" s="69"/>
    </row>
    <row r="12" spans="1:22" x14ac:dyDescent="0.25">
      <c r="A12" s="54" t="s">
        <v>93</v>
      </c>
      <c r="B12" s="65">
        <f>Ostern+39</f>
        <v>46513</v>
      </c>
      <c r="C12" s="66">
        <v>1</v>
      </c>
      <c r="D12" s="66">
        <v>1</v>
      </c>
      <c r="E12" s="66">
        <v>1</v>
      </c>
      <c r="F12" s="66">
        <v>1</v>
      </c>
      <c r="G12" s="66">
        <v>1</v>
      </c>
      <c r="H12" s="66">
        <v>1</v>
      </c>
      <c r="I12" s="66">
        <v>1</v>
      </c>
      <c r="J12" s="66">
        <v>1</v>
      </c>
      <c r="K12" s="66">
        <v>1</v>
      </c>
      <c r="L12" s="66">
        <v>1</v>
      </c>
      <c r="M12" s="66">
        <v>1</v>
      </c>
      <c r="N12" s="66">
        <v>1</v>
      </c>
      <c r="O12" s="66">
        <v>1</v>
      </c>
      <c r="P12" s="66">
        <v>1</v>
      </c>
      <c r="Q12" s="66">
        <v>1</v>
      </c>
      <c r="R12" s="66">
        <v>1</v>
      </c>
      <c r="S12" s="66">
        <v>0</v>
      </c>
      <c r="T12" s="67">
        <f>IF(OR(INDEX(C12:R12,MATCH(Bundesland,$C$4:$R$4,0))=1,S12=1),B12,0)</f>
        <v>46513</v>
      </c>
      <c r="U12" s="68">
        <f t="shared" si="0"/>
        <v>46513</v>
      </c>
      <c r="V12" s="69"/>
    </row>
    <row r="13" spans="1:22" x14ac:dyDescent="0.25">
      <c r="A13" s="54" t="s">
        <v>94</v>
      </c>
      <c r="B13" s="65">
        <f>Ostern+49</f>
        <v>46523</v>
      </c>
      <c r="C13" s="66">
        <v>0</v>
      </c>
      <c r="D13" s="66">
        <v>0</v>
      </c>
      <c r="E13" s="66">
        <v>0</v>
      </c>
      <c r="F13" s="66">
        <v>1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v>0</v>
      </c>
      <c r="Q13" s="66">
        <v>0</v>
      </c>
      <c r="R13" s="66">
        <v>0</v>
      </c>
      <c r="S13" s="66">
        <v>0</v>
      </c>
      <c r="T13" s="67">
        <f>IF(OR(INDEX(C13:R13,MATCH(Bundesland,$C$4:$R$4,0))=1,S13=1),B13,0)</f>
        <v>0</v>
      </c>
      <c r="U13" s="68">
        <f t="shared" si="0"/>
        <v>46523</v>
      </c>
      <c r="V13" s="69" t="s">
        <v>90</v>
      </c>
    </row>
    <row r="14" spans="1:22" x14ac:dyDescent="0.25">
      <c r="A14" s="54" t="s">
        <v>95</v>
      </c>
      <c r="B14" s="65">
        <f>Ostern+50</f>
        <v>46524</v>
      </c>
      <c r="C14" s="66">
        <v>1</v>
      </c>
      <c r="D14" s="66">
        <v>1</v>
      </c>
      <c r="E14" s="66">
        <v>1</v>
      </c>
      <c r="F14" s="66">
        <v>1</v>
      </c>
      <c r="G14" s="66">
        <v>1</v>
      </c>
      <c r="H14" s="66">
        <v>1</v>
      </c>
      <c r="I14" s="66">
        <v>1</v>
      </c>
      <c r="J14" s="66">
        <v>1</v>
      </c>
      <c r="K14" s="66">
        <v>1</v>
      </c>
      <c r="L14" s="66">
        <v>1</v>
      </c>
      <c r="M14" s="66">
        <v>1</v>
      </c>
      <c r="N14" s="66">
        <v>1</v>
      </c>
      <c r="O14" s="66">
        <v>1</v>
      </c>
      <c r="P14" s="66">
        <v>1</v>
      </c>
      <c r="Q14" s="66">
        <v>1</v>
      </c>
      <c r="R14" s="66">
        <v>1</v>
      </c>
      <c r="S14" s="66">
        <v>0</v>
      </c>
      <c r="T14" s="67">
        <f>IF(OR(INDEX(C14:R14,MATCH(Bundesland,$C$4:$R$4,0))=1,S14=1),B14,0)</f>
        <v>46524</v>
      </c>
      <c r="U14" s="68">
        <f t="shared" si="0"/>
        <v>46524</v>
      </c>
      <c r="V14" s="69"/>
    </row>
    <row r="15" spans="1:22" x14ac:dyDescent="0.25">
      <c r="A15" s="54" t="s">
        <v>96</v>
      </c>
      <c r="B15" s="65">
        <f>Ostern+60</f>
        <v>46534</v>
      </c>
      <c r="C15" s="66">
        <v>1</v>
      </c>
      <c r="D15" s="66">
        <v>1</v>
      </c>
      <c r="E15" s="66">
        <v>0</v>
      </c>
      <c r="F15" s="66">
        <v>0</v>
      </c>
      <c r="G15" s="66">
        <v>0</v>
      </c>
      <c r="H15" s="66">
        <v>0</v>
      </c>
      <c r="I15" s="66">
        <v>1</v>
      </c>
      <c r="J15" s="66">
        <v>0</v>
      </c>
      <c r="K15" s="66">
        <v>0</v>
      </c>
      <c r="L15" s="66">
        <v>1</v>
      </c>
      <c r="M15" s="66">
        <v>1</v>
      </c>
      <c r="N15" s="66">
        <v>1</v>
      </c>
      <c r="O15" s="66">
        <v>0</v>
      </c>
      <c r="P15" s="66">
        <v>0</v>
      </c>
      <c r="Q15" s="66">
        <v>0</v>
      </c>
      <c r="R15" s="66">
        <v>0</v>
      </c>
      <c r="S15" s="66">
        <v>0</v>
      </c>
      <c r="T15" s="67">
        <f>IF(OR(INDEX(C15:R15,MATCH(Bundesland,$C$4:$R$4,0))=1,S15=1),B15,0)</f>
        <v>46534</v>
      </c>
      <c r="U15" s="68">
        <f t="shared" si="0"/>
        <v>46534</v>
      </c>
      <c r="V15" s="69" t="s">
        <v>97</v>
      </c>
    </row>
    <row r="16" spans="1:22" x14ac:dyDescent="0.25">
      <c r="A16" s="54" t="s">
        <v>98</v>
      </c>
      <c r="B16" s="65">
        <f>DATE(Jahr,8,8)</f>
        <v>46607</v>
      </c>
      <c r="C16" s="66">
        <v>0</v>
      </c>
      <c r="D16" s="66">
        <v>0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v>0</v>
      </c>
      <c r="Q16" s="66">
        <v>0</v>
      </c>
      <c r="R16" s="66">
        <v>0</v>
      </c>
      <c r="S16" s="66">
        <v>0</v>
      </c>
      <c r="T16" s="67">
        <f>IF(OR(INDEX(C16:R16,MATCH(Bundesland,$C$4:$R$4,0))=1,S16=1),B16,0)</f>
        <v>0</v>
      </c>
      <c r="U16" s="68">
        <f t="shared" si="0"/>
        <v>46607</v>
      </c>
      <c r="V16" s="69" t="s">
        <v>99</v>
      </c>
    </row>
    <row r="17" spans="1:22" ht="24.95" customHeight="1" x14ac:dyDescent="0.25">
      <c r="A17" s="54" t="s">
        <v>100</v>
      </c>
      <c r="B17" s="65">
        <f>DATE(Jahr,8,15)</f>
        <v>46614</v>
      </c>
      <c r="C17" s="66">
        <v>0</v>
      </c>
      <c r="D17" s="66">
        <v>1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1</v>
      </c>
      <c r="O17" s="66">
        <v>0</v>
      </c>
      <c r="P17" s="66">
        <v>0</v>
      </c>
      <c r="Q17" s="66">
        <v>0</v>
      </c>
      <c r="R17" s="66">
        <v>0</v>
      </c>
      <c r="S17" s="66">
        <v>0</v>
      </c>
      <c r="T17" s="67">
        <f>IF(OR(INDEX(C17:R17,MATCH(Bundesland,$C$4:$R$4,0))=1,S17=1),B17,0)</f>
        <v>0</v>
      </c>
      <c r="U17" s="68">
        <f t="shared" si="0"/>
        <v>46614</v>
      </c>
      <c r="V17" s="69" t="s">
        <v>101</v>
      </c>
    </row>
    <row r="18" spans="1:22" x14ac:dyDescent="0.25">
      <c r="A18" s="54" t="s">
        <v>102</v>
      </c>
      <c r="B18" s="65">
        <f>DATE(Jahr,9,20)</f>
        <v>46650</v>
      </c>
      <c r="C18" s="66">
        <v>0</v>
      </c>
      <c r="D18" s="66">
        <v>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1</v>
      </c>
      <c r="S18" s="66">
        <v>0</v>
      </c>
      <c r="T18" s="67">
        <f>IF(OR(INDEX(C18:R18,MATCH(Bundesland,$C$4:$R$4,0))=1,S18=1),B18,0)</f>
        <v>0</v>
      </c>
      <c r="U18" s="68">
        <f t="shared" si="0"/>
        <v>46650</v>
      </c>
      <c r="V18" s="69"/>
    </row>
    <row r="19" spans="1:22" x14ac:dyDescent="0.25">
      <c r="A19" s="54" t="s">
        <v>103</v>
      </c>
      <c r="B19" s="65">
        <f>DATE(Jahr,10,3)</f>
        <v>46663</v>
      </c>
      <c r="C19" s="66">
        <v>1</v>
      </c>
      <c r="D19" s="66">
        <v>1</v>
      </c>
      <c r="E19" s="66">
        <v>1</v>
      </c>
      <c r="F19" s="66">
        <v>1</v>
      </c>
      <c r="G19" s="66">
        <v>1</v>
      </c>
      <c r="H19" s="66">
        <v>1</v>
      </c>
      <c r="I19" s="66">
        <v>1</v>
      </c>
      <c r="J19" s="66">
        <v>1</v>
      </c>
      <c r="K19" s="66">
        <v>1</v>
      </c>
      <c r="L19" s="66">
        <v>1</v>
      </c>
      <c r="M19" s="66">
        <v>1</v>
      </c>
      <c r="N19" s="66">
        <v>1</v>
      </c>
      <c r="O19" s="66">
        <v>1</v>
      </c>
      <c r="P19" s="66">
        <v>1</v>
      </c>
      <c r="Q19" s="66">
        <v>1</v>
      </c>
      <c r="R19" s="66">
        <v>1</v>
      </c>
      <c r="S19" s="66">
        <v>0</v>
      </c>
      <c r="T19" s="67">
        <f>IF(OR(INDEX(C19:R19,MATCH(Bundesland,$C$4:$R$4,0))=1,S19=1),B19,0)</f>
        <v>46663</v>
      </c>
      <c r="U19" s="68">
        <f t="shared" si="0"/>
        <v>46663</v>
      </c>
      <c r="V19" s="69"/>
    </row>
    <row r="20" spans="1:22" x14ac:dyDescent="0.25">
      <c r="A20" s="54" t="s">
        <v>104</v>
      </c>
      <c r="B20" s="65">
        <f>DATE(Jahr,10,31)</f>
        <v>46691</v>
      </c>
      <c r="C20" s="66">
        <v>0</v>
      </c>
      <c r="D20" s="66">
        <v>0</v>
      </c>
      <c r="E20" s="66">
        <v>0</v>
      </c>
      <c r="F20" s="66">
        <v>1</v>
      </c>
      <c r="G20" s="66">
        <v>1</v>
      </c>
      <c r="H20" s="66">
        <v>1</v>
      </c>
      <c r="I20" s="66">
        <v>0</v>
      </c>
      <c r="J20" s="66">
        <v>1</v>
      </c>
      <c r="K20" s="66">
        <v>1</v>
      </c>
      <c r="L20" s="66">
        <v>0</v>
      </c>
      <c r="M20" s="66">
        <v>0</v>
      </c>
      <c r="N20" s="66">
        <v>0</v>
      </c>
      <c r="O20" s="66">
        <v>1</v>
      </c>
      <c r="P20" s="66">
        <v>1</v>
      </c>
      <c r="Q20" s="66">
        <v>1</v>
      </c>
      <c r="R20" s="66">
        <v>1</v>
      </c>
      <c r="S20" s="66">
        <v>0</v>
      </c>
      <c r="T20" s="67">
        <f>IF(OR(INDEX(C20:R20,MATCH(Bundesland,$C$4:$R$4,0))=1,S20=1),B20,0)</f>
        <v>0</v>
      </c>
      <c r="U20" s="68">
        <f t="shared" si="0"/>
        <v>46691</v>
      </c>
      <c r="V20" s="69"/>
    </row>
    <row r="21" spans="1:22" x14ac:dyDescent="0.25">
      <c r="A21" s="54" t="s">
        <v>105</v>
      </c>
      <c r="B21" s="65">
        <f>DATE(Jahr,11,1)</f>
        <v>46692</v>
      </c>
      <c r="C21" s="66">
        <v>1</v>
      </c>
      <c r="D21" s="66">
        <v>1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1</v>
      </c>
      <c r="M21" s="66">
        <v>1</v>
      </c>
      <c r="N21" s="66">
        <v>1</v>
      </c>
      <c r="O21" s="66">
        <v>0</v>
      </c>
      <c r="P21" s="66">
        <v>0</v>
      </c>
      <c r="Q21" s="66">
        <v>0</v>
      </c>
      <c r="R21" s="66">
        <v>0</v>
      </c>
      <c r="S21" s="66">
        <v>0</v>
      </c>
      <c r="T21" s="67">
        <f>IF(OR(INDEX(C21:R21,MATCH(Bundesland,$C$4:$R$4,0))=1,S21=1),B21,0)</f>
        <v>46692</v>
      </c>
      <c r="U21" s="68">
        <f t="shared" si="0"/>
        <v>46692</v>
      </c>
      <c r="V21" s="69"/>
    </row>
    <row r="22" spans="1:22" x14ac:dyDescent="0.25">
      <c r="A22" s="54" t="s">
        <v>106</v>
      </c>
      <c r="B22" s="65">
        <f>DATE(Jahr,11,22)-MOD(WEEKDAY(DATE(Jahr,11,22),2)-3,7)</f>
        <v>46708</v>
      </c>
      <c r="C22" s="66">
        <v>0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1</v>
      </c>
      <c r="P22" s="66">
        <v>0</v>
      </c>
      <c r="Q22" s="66">
        <v>0</v>
      </c>
      <c r="R22" s="66">
        <v>0</v>
      </c>
      <c r="S22" s="66">
        <v>0</v>
      </c>
      <c r="T22" s="67">
        <f>IF(OR(INDEX(C22:R22,MATCH(Bundesland,$C$4:$R$4,0))=1,S22=1),B22,0)</f>
        <v>0</v>
      </c>
      <c r="U22" s="68">
        <f t="shared" si="0"/>
        <v>46708</v>
      </c>
      <c r="V22" s="69" t="s">
        <v>107</v>
      </c>
    </row>
    <row r="23" spans="1:22" x14ac:dyDescent="0.25">
      <c r="A23" s="54" t="s">
        <v>108</v>
      </c>
      <c r="B23" s="65">
        <f>DATE(Jahr,12,24)</f>
        <v>46745</v>
      </c>
      <c r="C23" s="66">
        <v>0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>
        <v>0</v>
      </c>
      <c r="R23" s="66">
        <v>0</v>
      </c>
      <c r="S23" s="66">
        <v>0</v>
      </c>
      <c r="T23" s="67">
        <f>IF(OR(INDEX(C23:R23,MATCH(Bundesland,$C$4:$R$4,0))=1,S23=1),B23,0)</f>
        <v>0</v>
      </c>
      <c r="U23" s="68">
        <f t="shared" si="0"/>
        <v>46745</v>
      </c>
      <c r="V23" s="69" t="s">
        <v>109</v>
      </c>
    </row>
    <row r="24" spans="1:22" x14ac:dyDescent="0.25">
      <c r="A24" s="54" t="s">
        <v>110</v>
      </c>
      <c r="B24" s="65">
        <f>DATE(Jahr,12,25)</f>
        <v>46746</v>
      </c>
      <c r="C24" s="66">
        <v>1</v>
      </c>
      <c r="D24" s="66">
        <v>1</v>
      </c>
      <c r="E24" s="66">
        <v>1</v>
      </c>
      <c r="F24" s="66">
        <v>1</v>
      </c>
      <c r="G24" s="66">
        <v>1</v>
      </c>
      <c r="H24" s="66">
        <v>1</v>
      </c>
      <c r="I24" s="66">
        <v>1</v>
      </c>
      <c r="J24" s="66">
        <v>1</v>
      </c>
      <c r="K24" s="66">
        <v>1</v>
      </c>
      <c r="L24" s="66">
        <v>1</v>
      </c>
      <c r="M24" s="66">
        <v>1</v>
      </c>
      <c r="N24" s="66">
        <v>1</v>
      </c>
      <c r="O24" s="66">
        <v>1</v>
      </c>
      <c r="P24" s="66">
        <v>1</v>
      </c>
      <c r="Q24" s="66">
        <v>1</v>
      </c>
      <c r="R24" s="66">
        <v>1</v>
      </c>
      <c r="S24" s="66">
        <v>0</v>
      </c>
      <c r="T24" s="67">
        <f>IF(OR(INDEX(C24:R24,MATCH(Bundesland,$C$4:$R$4,0))=1,S24=1),B24,0)</f>
        <v>46746</v>
      </c>
      <c r="U24" s="68">
        <f t="shared" si="0"/>
        <v>46746</v>
      </c>
      <c r="V24" s="69"/>
    </row>
    <row r="25" spans="1:22" x14ac:dyDescent="0.25">
      <c r="A25" s="54" t="s">
        <v>111</v>
      </c>
      <c r="B25" s="65">
        <f>DATE(Jahr,12,26)</f>
        <v>46747</v>
      </c>
      <c r="C25" s="66">
        <v>1</v>
      </c>
      <c r="D25" s="66">
        <v>1</v>
      </c>
      <c r="E25" s="66">
        <v>1</v>
      </c>
      <c r="F25" s="66">
        <v>1</v>
      </c>
      <c r="G25" s="66">
        <v>1</v>
      </c>
      <c r="H25" s="66">
        <v>1</v>
      </c>
      <c r="I25" s="66">
        <v>1</v>
      </c>
      <c r="J25" s="66">
        <v>1</v>
      </c>
      <c r="K25" s="66">
        <v>1</v>
      </c>
      <c r="L25" s="66">
        <v>1</v>
      </c>
      <c r="M25" s="66">
        <v>1</v>
      </c>
      <c r="N25" s="66">
        <v>1</v>
      </c>
      <c r="O25" s="66">
        <v>1</v>
      </c>
      <c r="P25" s="66">
        <v>1</v>
      </c>
      <c r="Q25" s="66">
        <v>1</v>
      </c>
      <c r="R25" s="66">
        <v>1</v>
      </c>
      <c r="S25" s="66">
        <v>0</v>
      </c>
      <c r="T25" s="67">
        <f>IF(OR(INDEX(C25:R25,MATCH(Bundesland,$C$4:$R$4,0))=1,S25=1),B25,0)</f>
        <v>46747</v>
      </c>
      <c r="U25" s="68">
        <f t="shared" si="0"/>
        <v>46747</v>
      </c>
      <c r="V25" s="69"/>
    </row>
    <row r="26" spans="1:22" x14ac:dyDescent="0.25">
      <c r="A26" s="54" t="s">
        <v>112</v>
      </c>
      <c r="B26" s="65">
        <f>DATE(Jahr,12,31)</f>
        <v>46752</v>
      </c>
      <c r="C26" s="66">
        <v>0</v>
      </c>
      <c r="D26" s="66">
        <v>0</v>
      </c>
      <c r="E26" s="66">
        <v>0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v>0</v>
      </c>
      <c r="Q26" s="66">
        <v>0</v>
      </c>
      <c r="R26" s="66">
        <v>0</v>
      </c>
      <c r="S26" s="66">
        <v>0</v>
      </c>
      <c r="T26" s="67">
        <f>IF(OR(INDEX(C26:R26,MATCH(Bundesland,$C$4:$R$4,0))=1,S26=1),B26,0)</f>
        <v>0</v>
      </c>
      <c r="U26" s="68">
        <f t="shared" si="0"/>
        <v>46752</v>
      </c>
      <c r="V26" s="69" t="s">
        <v>109</v>
      </c>
    </row>
    <row r="27" spans="1:22" x14ac:dyDescent="0.25">
      <c r="A27" s="61" t="s">
        <v>113</v>
      </c>
      <c r="T27" s="70">
        <f>COUNTIF(T5:T26,"&gt;0")</f>
        <v>11</v>
      </c>
      <c r="U27" s="70">
        <f>SUMPRODUCT((T5:T26&gt;0)*(WEEKDAY(T5:T26,2)&lt;6))</f>
        <v>7</v>
      </c>
      <c r="V27" s="12" t="s">
        <v>114</v>
      </c>
    </row>
    <row r="29" spans="1:22" x14ac:dyDescent="0.25">
      <c r="A29" s="71" t="s">
        <v>115</v>
      </c>
    </row>
    <row r="30" spans="1:22" x14ac:dyDescent="0.25">
      <c r="A30" s="72" t="s">
        <v>116</v>
      </c>
      <c r="B30" s="73">
        <f>Ostern-48</f>
        <v>46426</v>
      </c>
    </row>
    <row r="31" spans="1:22" x14ac:dyDescent="0.25">
      <c r="A31" s="72" t="str">
        <f>IF(Ostern=DATE(Jahr,3,31)-MOD(WEEKDAY(DATE(Jahr,3,31),2),7),"Ostersonntag · Beginn Sommerzeit","Ostersonntag")</f>
        <v>Ostersonntag · Beginn Sommerzeit</v>
      </c>
      <c r="B31" s="73">
        <f>Ostern</f>
        <v>46474</v>
      </c>
    </row>
    <row r="32" spans="1:22" x14ac:dyDescent="0.25">
      <c r="A32" s="72" t="s">
        <v>34</v>
      </c>
      <c r="B32" s="73">
        <f>DATE(Jahr,3,31)-MOD(WEEKDAY(DATE(Jahr,3,31),2),7)</f>
        <v>46474</v>
      </c>
    </row>
    <row r="33" spans="1:2" x14ac:dyDescent="0.25">
      <c r="A33" s="72" t="s">
        <v>117</v>
      </c>
      <c r="B33" s="73">
        <f>DATE(Jahr,5,1)+MOD(7-WEEKDAY(DATE(Jahr,5,1),2),7)+7</f>
        <v>46516</v>
      </c>
    </row>
    <row r="34" spans="1:2" x14ac:dyDescent="0.25">
      <c r="A34" s="72" t="s">
        <v>94</v>
      </c>
      <c r="B34" s="73">
        <f>Ostern+49</f>
        <v>46523</v>
      </c>
    </row>
    <row r="35" spans="1:2" x14ac:dyDescent="0.25">
      <c r="A35" s="72" t="s">
        <v>35</v>
      </c>
      <c r="B35" s="73">
        <f>DATE(Jahr,10,31)-MOD(WEEKDAY(DATE(Jahr,10,31),2),7)</f>
        <v>46691</v>
      </c>
    </row>
    <row r="36" spans="1:2" x14ac:dyDescent="0.25">
      <c r="A36" s="72" t="s">
        <v>118</v>
      </c>
      <c r="B36" s="73">
        <f>DATE(Jahr,12,24)-MOD(WEEKDAY(DATE(Jahr,12,24),2),7)-21</f>
        <v>46719</v>
      </c>
    </row>
    <row r="37" spans="1:2" x14ac:dyDescent="0.25">
      <c r="A37" s="72" t="s">
        <v>108</v>
      </c>
      <c r="B37" s="73">
        <f>DATE(Jahr,12,24)</f>
        <v>46745</v>
      </c>
    </row>
    <row r="38" spans="1:2" x14ac:dyDescent="0.25">
      <c r="A38" s="72" t="s">
        <v>112</v>
      </c>
      <c r="B38" s="73">
        <f>DATE(Jahr,12,31)</f>
        <v>46752</v>
      </c>
    </row>
    <row r="40" spans="1:2" x14ac:dyDescent="0.25">
      <c r="A40" s="12" t="s">
        <v>119</v>
      </c>
    </row>
  </sheetData>
  <conditionalFormatting sqref="A5:B26">
    <cfRule type="expression" dxfId="2" priority="2">
      <formula>$T5&gt;0</formula>
    </cfRule>
  </conditionalFormatting>
  <conditionalFormatting sqref="C5:S26">
    <cfRule type="expression" dxfId="1" priority="1">
      <formula>C5=1</formula>
    </cfRule>
  </conditionalFormatting>
  <conditionalFormatting sqref="U5:U26">
    <cfRule type="expression" dxfId="0" priority="3">
      <formula>WEEKDAY($B5,2)&gt;5</formula>
    </cfRule>
  </conditionalFormatting>
  <printOptions horizontalCentered="1"/>
  <pageMargins left="0.4" right="0.4" top="0.45" bottom="0.55000000000000004" header="0.2" footer="0.25"/>
  <pageSetup paperSize="9" orientation="landscape"/>
  <headerFooter>
    <oddFooter>&amp;C&amp;8 &amp;K686E70Vorlage von seminaron.de&amp;R&amp;8 &amp;K686E70&amp;A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22</vt:i4>
      </vt:variant>
    </vt:vector>
  </HeadingPairs>
  <TitlesOfParts>
    <vt:vector size="38" baseType="lpstr">
      <vt:lpstr>Anleitung</vt:lpstr>
      <vt:lpstr>Jahreskalender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BT_Datum</vt:lpstr>
      <vt:lpstr>BT_Name</vt:lpstr>
      <vt:lpstr>Anleitung!Druckbereich</vt:lpstr>
      <vt:lpstr>April!Druckbereich</vt:lpstr>
      <vt:lpstr>August!Druckbereich</vt:lpstr>
      <vt:lpstr>Dezember!Druckbereich</vt:lpstr>
      <vt:lpstr>Februar!Druckbereich</vt:lpstr>
      <vt:lpstr>Feiertage!Druckbereich</vt:lpstr>
      <vt:lpstr>Jahreskalender!Druckbereich</vt:lpstr>
      <vt:lpstr>Januar!Druckbereich</vt:lpstr>
      <vt:lpstr>Juli!Druckbereich</vt:lpstr>
      <vt:lpstr>Juni!Druckbereich</vt:lpstr>
      <vt:lpstr>Kalenderwochen!Druckbereich</vt:lpstr>
      <vt:lpstr>Mai!Druckbereich</vt:lpstr>
      <vt:lpstr>März!Druckbereich</vt:lpstr>
      <vt:lpstr>November!Druckbereich</vt:lpstr>
      <vt:lpstr>Oktober!Druckbereich</vt:lpstr>
      <vt:lpstr>September!Druckbereich</vt:lpstr>
      <vt:lpstr>Kalenderwochen!Drucktitel</vt:lpstr>
      <vt:lpstr>Feiertage_aktiv</vt:lpstr>
      <vt:lpstr>FT_Name</vt:lpstr>
      <vt:lpstr>Ostern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2027 (Excel-Vorlage)</dc:title>
  <dc:creator>SEMINARON</dc:creator>
  <cp:keywords>Kalender 2027, Excel, Vorlage, Feiertage, Kalenderwochen, Bundesland</cp:keywords>
  <cp:lastModifiedBy>SEMINARON</cp:lastModifiedBy>
  <dcterms:created xsi:type="dcterms:W3CDTF">2026-10-08T04:32:58Z</dcterms:created>
  <dcterms:modified xsi:type="dcterms:W3CDTF">2026-10-08T04:33:01Z</dcterms:modified>
</cp:coreProperties>
</file>