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eminaron-my.sharepoint.com/personal/kontakt_seminaron_de/Documents/SEMINARON-Ratgeber-Oktober-2026/Welle-2/Urlaubsplaner-Vorlagen-Post/"/>
    </mc:Choice>
  </mc:AlternateContent>
  <xr:revisionPtr revIDLastSave="0" documentId="11_285BAA32DC1F55FD8197611E9B0CD551F2AC0974" xr6:coauthVersionLast="47" xr6:coauthVersionMax="47" xr10:uidLastSave="{00000000-0000-0000-0000-000000000000}"/>
  <bookViews>
    <workbookView xWindow="4680" yWindow="4680" windowWidth="28800" windowHeight="15345" xr2:uid="{00000000-000D-0000-FFFF-FFFF00000000}"/>
  </bookViews>
  <sheets>
    <sheet name="Start" sheetId="1" r:id="rId1"/>
    <sheet name="Mitarbeitende" sheetId="2" r:id="rId2"/>
    <sheet name="Jan" sheetId="3" r:id="rId3"/>
    <sheet name="Feb" sheetId="4" r:id="rId4"/>
    <sheet name="Mär" sheetId="5" r:id="rId5"/>
    <sheet name="Apr" sheetId="6" r:id="rId6"/>
    <sheet name="Mai" sheetId="7" r:id="rId7"/>
    <sheet name="Jun" sheetId="8" r:id="rId8"/>
    <sheet name="Jul" sheetId="9" r:id="rId9"/>
    <sheet name="Aug" sheetId="10" r:id="rId10"/>
    <sheet name="Sep" sheetId="11" r:id="rId11"/>
    <sheet name="Okt" sheetId="12" r:id="rId12"/>
    <sheet name="Nov" sheetId="13" r:id="rId13"/>
    <sheet name="Dez" sheetId="14" r:id="rId14"/>
    <sheet name="Feiertage" sheetId="15" r:id="rId15"/>
  </sheets>
  <definedNames>
    <definedName name="Bundesland">Start!$C$6</definedName>
    <definedName name="_xlnm.Print_Titles" localSheetId="5">Apr!$3:$4</definedName>
    <definedName name="_xlnm.Print_Titles" localSheetId="9">Aug!$3:$4</definedName>
    <definedName name="_xlnm.Print_Titles" localSheetId="13">Dez!$3:$4</definedName>
    <definedName name="_xlnm.Print_Titles" localSheetId="3">Feb!$3:$4</definedName>
    <definedName name="_xlnm.Print_Titles" localSheetId="2">Jan!$3:$4</definedName>
    <definedName name="_xlnm.Print_Titles" localSheetId="8">Jul!$3:$4</definedName>
    <definedName name="_xlnm.Print_Titles" localSheetId="7">Jun!$3:$4</definedName>
    <definedName name="_xlnm.Print_Titles" localSheetId="6">Mai!$3:$4</definedName>
    <definedName name="_xlnm.Print_Titles" localSheetId="4">Mär!$3:$4</definedName>
    <definedName name="_xlnm.Print_Titles" localSheetId="1">Mitarbeitende!$4:$4</definedName>
    <definedName name="_xlnm.Print_Titles" localSheetId="12">Nov!$3:$4</definedName>
    <definedName name="_xlnm.Print_Titles" localSheetId="11">Okt!$3:$4</definedName>
    <definedName name="_xlnm.Print_Titles" localSheetId="10">Sep!$3:$4</definedName>
    <definedName name="Feiertage_aktiv">Feiertage!$T$5:$T$23</definedName>
    <definedName name="Firma">Start!$C$7</definedName>
    <definedName name="Jahr">Start!$C$5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3" i="15" l="1"/>
  <c r="B23" i="15"/>
  <c r="T22" i="15"/>
  <c r="B22" i="15"/>
  <c r="B21" i="15"/>
  <c r="T21" i="15" s="1"/>
  <c r="B20" i="15"/>
  <c r="T20" i="15" s="1"/>
  <c r="T19" i="15"/>
  <c r="B19" i="15"/>
  <c r="B18" i="15"/>
  <c r="T18" i="15" s="1"/>
  <c r="T17" i="15"/>
  <c r="B17" i="15"/>
  <c r="B16" i="15"/>
  <c r="T16" i="15" s="1"/>
  <c r="T15" i="15"/>
  <c r="B15" i="15"/>
  <c r="T14" i="15"/>
  <c r="B14" i="15"/>
  <c r="B10" i="15"/>
  <c r="T10" i="15" s="1"/>
  <c r="T7" i="15"/>
  <c r="B7" i="15"/>
  <c r="T6" i="15"/>
  <c r="B6" i="15"/>
  <c r="B5" i="15"/>
  <c r="T5" i="15" s="1"/>
  <c r="B3" i="15"/>
  <c r="A2" i="15"/>
  <c r="A34" i="14"/>
  <c r="A33" i="14"/>
  <c r="A32" i="14"/>
  <c r="A31" i="14"/>
  <c r="A30" i="14"/>
  <c r="A29" i="14"/>
  <c r="A28" i="14"/>
  <c r="A27" i="14"/>
  <c r="A26" i="14"/>
  <c r="A25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A8" i="14"/>
  <c r="A7" i="14"/>
  <c r="A6" i="14"/>
  <c r="A5" i="14"/>
  <c r="AF3" i="14"/>
  <c r="AF4" i="14" s="1"/>
  <c r="AE3" i="14"/>
  <c r="AE4" i="14" s="1"/>
  <c r="AD3" i="14"/>
  <c r="AD4" i="14" s="1"/>
  <c r="AC3" i="14"/>
  <c r="AC4" i="14" s="1"/>
  <c r="AB3" i="14"/>
  <c r="AB4" i="14" s="1"/>
  <c r="AA3" i="14"/>
  <c r="Z3" i="14"/>
  <c r="Y3" i="14"/>
  <c r="Y4" i="14" s="1"/>
  <c r="X3" i="14"/>
  <c r="X4" i="14" s="1"/>
  <c r="W3" i="14"/>
  <c r="W4" i="14" s="1"/>
  <c r="V3" i="14"/>
  <c r="V4" i="14" s="1"/>
  <c r="U3" i="14"/>
  <c r="U4" i="14" s="1"/>
  <c r="T3" i="14"/>
  <c r="T4" i="14" s="1"/>
  <c r="S3" i="14"/>
  <c r="S4" i="14" s="1"/>
  <c r="R3" i="14"/>
  <c r="R4" i="14" s="1"/>
  <c r="Q3" i="14"/>
  <c r="Q4" i="14" s="1"/>
  <c r="P3" i="14"/>
  <c r="P4" i="14" s="1"/>
  <c r="O3" i="14"/>
  <c r="O4" i="14" s="1"/>
  <c r="N3" i="14"/>
  <c r="N4" i="14" s="1"/>
  <c r="M3" i="14"/>
  <c r="M4" i="14" s="1"/>
  <c r="L3" i="14"/>
  <c r="L4" i="14" s="1"/>
  <c r="K3" i="14"/>
  <c r="K4" i="14" s="1"/>
  <c r="J3" i="14"/>
  <c r="J4" i="14" s="1"/>
  <c r="I3" i="14"/>
  <c r="I4" i="14" s="1"/>
  <c r="H3" i="14"/>
  <c r="H4" i="14" s="1"/>
  <c r="G3" i="14"/>
  <c r="G4" i="14" s="1"/>
  <c r="F3" i="14"/>
  <c r="F4" i="14" s="1"/>
  <c r="E3" i="14"/>
  <c r="E4" i="14" s="1"/>
  <c r="D3" i="14"/>
  <c r="D4" i="14" s="1"/>
  <c r="C3" i="14"/>
  <c r="C4" i="14" s="1"/>
  <c r="B3" i="14"/>
  <c r="B4" i="14" s="1"/>
  <c r="A3" i="14"/>
  <c r="T2" i="14"/>
  <c r="S2" i="14"/>
  <c r="M2" i="14"/>
  <c r="L2" i="14"/>
  <c r="F2" i="14"/>
  <c r="E2" i="14"/>
  <c r="A1" i="14"/>
  <c r="A34" i="13"/>
  <c r="A33" i="13"/>
  <c r="A32" i="13"/>
  <c r="A31" i="13"/>
  <c r="A30" i="13"/>
  <c r="A29" i="13"/>
  <c r="A28" i="13"/>
  <c r="A27" i="13"/>
  <c r="A26" i="13"/>
  <c r="A25" i="13"/>
  <c r="A24" i="13"/>
  <c r="A23" i="13"/>
  <c r="A22" i="13"/>
  <c r="A21" i="13"/>
  <c r="A20" i="13"/>
  <c r="A19" i="13"/>
  <c r="A18" i="13"/>
  <c r="A17" i="13"/>
  <c r="A16" i="13"/>
  <c r="A15" i="13"/>
  <c r="A14" i="13"/>
  <c r="A13" i="13"/>
  <c r="A12" i="13"/>
  <c r="A11" i="13"/>
  <c r="A10" i="13"/>
  <c r="A9" i="13"/>
  <c r="A8" i="13"/>
  <c r="A7" i="13"/>
  <c r="A6" i="13"/>
  <c r="A5" i="13"/>
  <c r="AF3" i="13"/>
  <c r="AE3" i="13"/>
  <c r="AE4" i="13" s="1"/>
  <c r="AD3" i="13"/>
  <c r="AD4" i="13" s="1"/>
  <c r="AC3" i="13"/>
  <c r="AC4" i="13" s="1"/>
  <c r="AB3" i="13"/>
  <c r="AB4" i="13" s="1"/>
  <c r="AA3" i="13"/>
  <c r="AA4" i="13" s="1"/>
  <c r="Z3" i="13"/>
  <c r="Z4" i="13" s="1"/>
  <c r="Y3" i="13"/>
  <c r="Y4" i="13" s="1"/>
  <c r="X3" i="13"/>
  <c r="X4" i="13" s="1"/>
  <c r="W3" i="13"/>
  <c r="W4" i="13" s="1"/>
  <c r="V3" i="13"/>
  <c r="V4" i="13" s="1"/>
  <c r="U3" i="13"/>
  <c r="U4" i="13" s="1"/>
  <c r="T3" i="13"/>
  <c r="T4" i="13" s="1"/>
  <c r="S3" i="13"/>
  <c r="S4" i="13" s="1"/>
  <c r="R3" i="13"/>
  <c r="R4" i="13" s="1"/>
  <c r="Q3" i="13"/>
  <c r="Q4" i="13" s="1"/>
  <c r="P3" i="13"/>
  <c r="P4" i="13" s="1"/>
  <c r="O3" i="13"/>
  <c r="O4" i="13" s="1"/>
  <c r="N3" i="13"/>
  <c r="N4" i="13" s="1"/>
  <c r="M3" i="13"/>
  <c r="M4" i="13" s="1"/>
  <c r="L3" i="13"/>
  <c r="L4" i="13" s="1"/>
  <c r="K3" i="13"/>
  <c r="K4" i="13" s="1"/>
  <c r="J3" i="13"/>
  <c r="J4" i="13" s="1"/>
  <c r="I3" i="13"/>
  <c r="I4" i="13" s="1"/>
  <c r="H3" i="13"/>
  <c r="H4" i="13" s="1"/>
  <c r="G3" i="13"/>
  <c r="G4" i="13" s="1"/>
  <c r="F3" i="13"/>
  <c r="F4" i="13" s="1"/>
  <c r="E3" i="13"/>
  <c r="E4" i="13" s="1"/>
  <c r="D3" i="13"/>
  <c r="D4" i="13" s="1"/>
  <c r="C3" i="13"/>
  <c r="C4" i="13" s="1"/>
  <c r="B3" i="13"/>
  <c r="B4" i="13" s="1"/>
  <c r="A3" i="13"/>
  <c r="AC2" i="13"/>
  <c r="AB2" i="13"/>
  <c r="V2" i="13"/>
  <c r="U2" i="13"/>
  <c r="O2" i="13"/>
  <c r="N2" i="13"/>
  <c r="H2" i="13"/>
  <c r="G2" i="13"/>
  <c r="A1" i="13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8" i="12"/>
  <c r="A7" i="12"/>
  <c r="A6" i="12"/>
  <c r="A5" i="12"/>
  <c r="AF3" i="12"/>
  <c r="AF4" i="12" s="1"/>
  <c r="AE3" i="12"/>
  <c r="AE4" i="12" s="1"/>
  <c r="AD3" i="12"/>
  <c r="AD4" i="12" s="1"/>
  <c r="AC3" i="12"/>
  <c r="AC4" i="12" s="1"/>
  <c r="AB3" i="12"/>
  <c r="AB4" i="12" s="1"/>
  <c r="AA3" i="12"/>
  <c r="AA4" i="12" s="1"/>
  <c r="Z3" i="12"/>
  <c r="Z4" i="12" s="1"/>
  <c r="Y3" i="12"/>
  <c r="Y4" i="12" s="1"/>
  <c r="X3" i="12"/>
  <c r="X4" i="12" s="1"/>
  <c r="W3" i="12"/>
  <c r="W4" i="12" s="1"/>
  <c r="V3" i="12"/>
  <c r="V4" i="12" s="1"/>
  <c r="U3" i="12"/>
  <c r="U4" i="12" s="1"/>
  <c r="T3" i="12"/>
  <c r="T4" i="12" s="1"/>
  <c r="S3" i="12"/>
  <c r="S4" i="12" s="1"/>
  <c r="R3" i="12"/>
  <c r="R4" i="12" s="1"/>
  <c r="Q3" i="12"/>
  <c r="Q4" i="12" s="1"/>
  <c r="P3" i="12"/>
  <c r="P4" i="12" s="1"/>
  <c r="O3" i="12"/>
  <c r="O4" i="12" s="1"/>
  <c r="N3" i="12"/>
  <c r="N4" i="12" s="1"/>
  <c r="M3" i="12"/>
  <c r="M4" i="12" s="1"/>
  <c r="L3" i="12"/>
  <c r="L4" i="12" s="1"/>
  <c r="K3" i="12"/>
  <c r="K4" i="12" s="1"/>
  <c r="J3" i="12"/>
  <c r="J4" i="12" s="1"/>
  <c r="I3" i="12"/>
  <c r="I4" i="12" s="1"/>
  <c r="H3" i="12"/>
  <c r="H4" i="12" s="1"/>
  <c r="G3" i="12"/>
  <c r="G4" i="12" s="1"/>
  <c r="F3" i="12"/>
  <c r="F4" i="12" s="1"/>
  <c r="E3" i="12"/>
  <c r="E4" i="12" s="1"/>
  <c r="D3" i="12"/>
  <c r="C3" i="12"/>
  <c r="B3" i="12"/>
  <c r="B4" i="12" s="1"/>
  <c r="A3" i="12"/>
  <c r="AF2" i="12"/>
  <c r="AE2" i="12"/>
  <c r="Y2" i="12"/>
  <c r="X2" i="12"/>
  <c r="R2" i="12"/>
  <c r="Q2" i="12"/>
  <c r="K2" i="12"/>
  <c r="J2" i="12"/>
  <c r="A1" i="12"/>
  <c r="A34" i="11"/>
  <c r="A33" i="11"/>
  <c r="A32" i="11"/>
  <c r="A31" i="11"/>
  <c r="A30" i="11"/>
  <c r="A29" i="11"/>
  <c r="A28" i="11"/>
  <c r="A27" i="11"/>
  <c r="A26" i="11"/>
  <c r="A25" i="11"/>
  <c r="A24" i="11"/>
  <c r="A23" i="11"/>
  <c r="A22" i="11"/>
  <c r="A21" i="11"/>
  <c r="A20" i="11"/>
  <c r="A19" i="11"/>
  <c r="A18" i="11"/>
  <c r="A17" i="11"/>
  <c r="A16" i="11"/>
  <c r="A15" i="11"/>
  <c r="A14" i="11"/>
  <c r="A13" i="11"/>
  <c r="A12" i="11"/>
  <c r="A11" i="11"/>
  <c r="A10" i="11"/>
  <c r="A9" i="11"/>
  <c r="A8" i="11"/>
  <c r="A7" i="11"/>
  <c r="A6" i="11"/>
  <c r="A5" i="11"/>
  <c r="AF3" i="11"/>
  <c r="AE3" i="11"/>
  <c r="AD3" i="11"/>
  <c r="AC3" i="11"/>
  <c r="AB3" i="11"/>
  <c r="AA3" i="11"/>
  <c r="Z3" i="11"/>
  <c r="Y3" i="11"/>
  <c r="X3" i="11"/>
  <c r="W3" i="11"/>
  <c r="V3" i="11"/>
  <c r="U3" i="11"/>
  <c r="T3" i="11"/>
  <c r="S3" i="11"/>
  <c r="R3" i="11"/>
  <c r="Q3" i="11"/>
  <c r="P3" i="11"/>
  <c r="O3" i="11"/>
  <c r="N3" i="11"/>
  <c r="M3" i="11"/>
  <c r="L3" i="11"/>
  <c r="K3" i="11"/>
  <c r="J3" i="11"/>
  <c r="I3" i="11"/>
  <c r="H3" i="11"/>
  <c r="G3" i="11"/>
  <c r="F3" i="11"/>
  <c r="E3" i="11"/>
  <c r="D3" i="11"/>
  <c r="C3" i="11"/>
  <c r="C4" i="11" s="1"/>
  <c r="B3" i="11"/>
  <c r="B4" i="11" s="1"/>
  <c r="A3" i="11"/>
  <c r="A1" i="11"/>
  <c r="A34" i="10"/>
  <c r="A33" i="10"/>
  <c r="A32" i="10"/>
  <c r="A31" i="10"/>
  <c r="A30" i="10"/>
  <c r="A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A14" i="10"/>
  <c r="A13" i="10"/>
  <c r="A12" i="10"/>
  <c r="A11" i="10"/>
  <c r="A10" i="10"/>
  <c r="A9" i="10"/>
  <c r="A8" i="10"/>
  <c r="A7" i="10"/>
  <c r="A6" i="10"/>
  <c r="A5" i="10"/>
  <c r="AF3" i="10"/>
  <c r="AF4" i="10" s="1"/>
  <c r="AE3" i="10"/>
  <c r="AE4" i="10" s="1"/>
  <c r="AD3" i="10"/>
  <c r="AD4" i="10" s="1"/>
  <c r="AC3" i="10"/>
  <c r="AC4" i="10" s="1"/>
  <c r="AB3" i="10"/>
  <c r="AB4" i="10" s="1"/>
  <c r="AA3" i="10"/>
  <c r="AA4" i="10" s="1"/>
  <c r="Z3" i="10"/>
  <c r="Z4" i="10" s="1"/>
  <c r="Y3" i="10"/>
  <c r="Y4" i="10" s="1"/>
  <c r="X3" i="10"/>
  <c r="X4" i="10" s="1"/>
  <c r="W3" i="10"/>
  <c r="W4" i="10" s="1"/>
  <c r="V3" i="10"/>
  <c r="V4" i="10" s="1"/>
  <c r="U3" i="10"/>
  <c r="U4" i="10" s="1"/>
  <c r="T3" i="10"/>
  <c r="T4" i="10" s="1"/>
  <c r="S3" i="10"/>
  <c r="S4" i="10" s="1"/>
  <c r="R3" i="10"/>
  <c r="R4" i="10" s="1"/>
  <c r="Q3" i="10"/>
  <c r="Q4" i="10" s="1"/>
  <c r="P3" i="10"/>
  <c r="P4" i="10" s="1"/>
  <c r="O3" i="10"/>
  <c r="O4" i="10" s="1"/>
  <c r="N3" i="10"/>
  <c r="N4" i="10" s="1"/>
  <c r="M3" i="10"/>
  <c r="M4" i="10" s="1"/>
  <c r="L3" i="10"/>
  <c r="L4" i="10" s="1"/>
  <c r="K3" i="10"/>
  <c r="K4" i="10" s="1"/>
  <c r="J3" i="10"/>
  <c r="J4" i="10" s="1"/>
  <c r="I3" i="10"/>
  <c r="I4" i="10" s="1"/>
  <c r="H3" i="10"/>
  <c r="H4" i="10" s="1"/>
  <c r="G3" i="10"/>
  <c r="G4" i="10" s="1"/>
  <c r="F3" i="10"/>
  <c r="F4" i="10" s="1"/>
  <c r="E3" i="10"/>
  <c r="E4" i="10" s="1"/>
  <c r="D3" i="10"/>
  <c r="D4" i="10" s="1"/>
  <c r="C3" i="10"/>
  <c r="C4" i="10" s="1"/>
  <c r="B3" i="10"/>
  <c r="B4" i="10" s="1"/>
  <c r="A3" i="10"/>
  <c r="AD2" i="10"/>
  <c r="AC2" i="10"/>
  <c r="W2" i="10"/>
  <c r="V2" i="10"/>
  <c r="P2" i="10"/>
  <c r="O2" i="10"/>
  <c r="I2" i="10"/>
  <c r="H2" i="10"/>
  <c r="B2" i="10"/>
  <c r="A1" i="10"/>
  <c r="A34" i="9"/>
  <c r="A33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6" i="9"/>
  <c r="A5" i="9"/>
  <c r="AF3" i="9"/>
  <c r="AE3" i="9"/>
  <c r="AE4" i="9" s="1"/>
  <c r="AD3" i="9"/>
  <c r="AD4" i="9" s="1"/>
  <c r="AC3" i="9"/>
  <c r="AC4" i="9" s="1"/>
  <c r="AB3" i="9"/>
  <c r="AB4" i="9" s="1"/>
  <c r="AA3" i="9"/>
  <c r="AA4" i="9" s="1"/>
  <c r="Z3" i="9"/>
  <c r="Y3" i="9"/>
  <c r="X3" i="9"/>
  <c r="X4" i="9" s="1"/>
  <c r="W3" i="9"/>
  <c r="W4" i="9" s="1"/>
  <c r="V3" i="9"/>
  <c r="V4" i="9" s="1"/>
  <c r="U3" i="9"/>
  <c r="U4" i="9" s="1"/>
  <c r="T3" i="9"/>
  <c r="T4" i="9" s="1"/>
  <c r="S3" i="9"/>
  <c r="R3" i="9"/>
  <c r="Q3" i="9"/>
  <c r="Q4" i="9" s="1"/>
  <c r="P3" i="9"/>
  <c r="P4" i="9" s="1"/>
  <c r="O3" i="9"/>
  <c r="O4" i="9" s="1"/>
  <c r="N3" i="9"/>
  <c r="N4" i="9" s="1"/>
  <c r="M3" i="9"/>
  <c r="M4" i="9" s="1"/>
  <c r="L3" i="9"/>
  <c r="K3" i="9"/>
  <c r="J3" i="9"/>
  <c r="J4" i="9" s="1"/>
  <c r="I3" i="9"/>
  <c r="I4" i="9" s="1"/>
  <c r="H3" i="9"/>
  <c r="H4" i="9" s="1"/>
  <c r="G3" i="9"/>
  <c r="G4" i="9" s="1"/>
  <c r="F3" i="9"/>
  <c r="F4" i="9" s="1"/>
  <c r="E3" i="9"/>
  <c r="E4" i="9" s="1"/>
  <c r="D3" i="9"/>
  <c r="D4" i="9" s="1"/>
  <c r="C3" i="9"/>
  <c r="C4" i="9" s="1"/>
  <c r="B3" i="9"/>
  <c r="B4" i="9" s="1"/>
  <c r="A3" i="9"/>
  <c r="E2" i="9"/>
  <c r="D2" i="9"/>
  <c r="A1" i="9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F3" i="8"/>
  <c r="AF4" i="8" s="1"/>
  <c r="AE3" i="8"/>
  <c r="AE4" i="8" s="1"/>
  <c r="AD3" i="8"/>
  <c r="AD4" i="8" s="1"/>
  <c r="AC3" i="8"/>
  <c r="AC4" i="8" s="1"/>
  <c r="AB3" i="8"/>
  <c r="AB4" i="8" s="1"/>
  <c r="AA3" i="8"/>
  <c r="AA4" i="8" s="1"/>
  <c r="Z3" i="8"/>
  <c r="Z4" i="8" s="1"/>
  <c r="Y3" i="8"/>
  <c r="Y4" i="8" s="1"/>
  <c r="X3" i="8"/>
  <c r="X4" i="8" s="1"/>
  <c r="W3" i="8"/>
  <c r="W4" i="8" s="1"/>
  <c r="V3" i="8"/>
  <c r="V4" i="8" s="1"/>
  <c r="U3" i="8"/>
  <c r="U4" i="8" s="1"/>
  <c r="T3" i="8"/>
  <c r="T4" i="8" s="1"/>
  <c r="S3" i="8"/>
  <c r="S4" i="8" s="1"/>
  <c r="R3" i="8"/>
  <c r="R4" i="8" s="1"/>
  <c r="Q3" i="8"/>
  <c r="Q4" i="8" s="1"/>
  <c r="P3" i="8"/>
  <c r="P4" i="8" s="1"/>
  <c r="O3" i="8"/>
  <c r="O4" i="8" s="1"/>
  <c r="N3" i="8"/>
  <c r="N4" i="8" s="1"/>
  <c r="M3" i="8"/>
  <c r="M4" i="8" s="1"/>
  <c r="L3" i="8"/>
  <c r="L4" i="8" s="1"/>
  <c r="K3" i="8"/>
  <c r="K4" i="8" s="1"/>
  <c r="J3" i="8"/>
  <c r="J4" i="8" s="1"/>
  <c r="I3" i="8"/>
  <c r="I4" i="8" s="1"/>
  <c r="H3" i="8"/>
  <c r="H4" i="8" s="1"/>
  <c r="G3" i="8"/>
  <c r="G4" i="8" s="1"/>
  <c r="F3" i="8"/>
  <c r="F4" i="8" s="1"/>
  <c r="E3" i="8"/>
  <c r="E4" i="8" s="1"/>
  <c r="D3" i="8"/>
  <c r="D4" i="8" s="1"/>
  <c r="C3" i="8"/>
  <c r="C4" i="8" s="1"/>
  <c r="B3" i="8"/>
  <c r="B4" i="8" s="1"/>
  <c r="A3" i="8"/>
  <c r="AF2" i="8"/>
  <c r="AB2" i="8"/>
  <c r="AA2" i="8"/>
  <c r="U2" i="8"/>
  <c r="T2" i="8"/>
  <c r="N2" i="8"/>
  <c r="M2" i="8"/>
  <c r="G2" i="8"/>
  <c r="F2" i="8"/>
  <c r="A1" i="8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F3" i="7"/>
  <c r="AF4" i="7" s="1"/>
  <c r="AE3" i="7"/>
  <c r="AD3" i="7"/>
  <c r="AC3" i="7"/>
  <c r="AC4" i="7" s="1"/>
  <c r="AB3" i="7"/>
  <c r="AB4" i="7" s="1"/>
  <c r="AA3" i="7"/>
  <c r="AA4" i="7" s="1"/>
  <c r="Z3" i="7"/>
  <c r="Z4" i="7" s="1"/>
  <c r="Y3" i="7"/>
  <c r="Y4" i="7" s="1"/>
  <c r="X3" i="7"/>
  <c r="X4" i="7" s="1"/>
  <c r="W3" i="7"/>
  <c r="W4" i="7" s="1"/>
  <c r="V3" i="7"/>
  <c r="V4" i="7" s="1"/>
  <c r="U3" i="7"/>
  <c r="U4" i="7" s="1"/>
  <c r="T3" i="7"/>
  <c r="T4" i="7" s="1"/>
  <c r="S3" i="7"/>
  <c r="S4" i="7" s="1"/>
  <c r="R3" i="7"/>
  <c r="R4" i="7" s="1"/>
  <c r="Q3" i="7"/>
  <c r="Q4" i="7" s="1"/>
  <c r="P3" i="7"/>
  <c r="P4" i="7" s="1"/>
  <c r="O3" i="7"/>
  <c r="O4" i="7" s="1"/>
  <c r="N3" i="7"/>
  <c r="N4" i="7" s="1"/>
  <c r="M3" i="7"/>
  <c r="M4" i="7" s="1"/>
  <c r="L3" i="7"/>
  <c r="L4" i="7" s="1"/>
  <c r="K3" i="7"/>
  <c r="K4" i="7" s="1"/>
  <c r="J3" i="7"/>
  <c r="J4" i="7" s="1"/>
  <c r="I3" i="7"/>
  <c r="I4" i="7" s="1"/>
  <c r="H3" i="7"/>
  <c r="H4" i="7" s="1"/>
  <c r="G3" i="7"/>
  <c r="G4" i="7" s="1"/>
  <c r="F3" i="7"/>
  <c r="F4" i="7" s="1"/>
  <c r="E3" i="7"/>
  <c r="E4" i="7" s="1"/>
  <c r="D3" i="7"/>
  <c r="D4" i="7" s="1"/>
  <c r="C3" i="7"/>
  <c r="C4" i="7" s="1"/>
  <c r="B3" i="7"/>
  <c r="B4" i="7" s="1"/>
  <c r="A3" i="7"/>
  <c r="X2" i="7"/>
  <c r="W2" i="7"/>
  <c r="Q2" i="7"/>
  <c r="P2" i="7"/>
  <c r="J2" i="7"/>
  <c r="I2" i="7"/>
  <c r="C2" i="7"/>
  <c r="B2" i="7"/>
  <c r="A1" i="7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F3" i="6"/>
  <c r="AF4" i="6" s="1"/>
  <c r="AE3" i="6"/>
  <c r="AE4" i="6" s="1"/>
  <c r="AD3" i="6"/>
  <c r="AD4" i="6" s="1"/>
  <c r="AC3" i="6"/>
  <c r="AC4" i="6" s="1"/>
  <c r="AB3" i="6"/>
  <c r="AB4" i="6" s="1"/>
  <c r="AA3" i="6"/>
  <c r="AA4" i="6" s="1"/>
  <c r="Z3" i="6"/>
  <c r="Z4" i="6" s="1"/>
  <c r="Y3" i="6"/>
  <c r="Y4" i="6" s="1"/>
  <c r="X3" i="6"/>
  <c r="X4" i="6" s="1"/>
  <c r="W3" i="6"/>
  <c r="W4" i="6" s="1"/>
  <c r="V3" i="6"/>
  <c r="V4" i="6" s="1"/>
  <c r="U3" i="6"/>
  <c r="U4" i="6" s="1"/>
  <c r="T3" i="6"/>
  <c r="T4" i="6" s="1"/>
  <c r="S3" i="6"/>
  <c r="S4" i="6" s="1"/>
  <c r="R3" i="6"/>
  <c r="R4" i="6" s="1"/>
  <c r="Q3" i="6"/>
  <c r="Q4" i="6" s="1"/>
  <c r="P3" i="6"/>
  <c r="P4" i="6" s="1"/>
  <c r="O3" i="6"/>
  <c r="O4" i="6" s="1"/>
  <c r="N3" i="6"/>
  <c r="N4" i="6" s="1"/>
  <c r="M3" i="6"/>
  <c r="M4" i="6" s="1"/>
  <c r="L3" i="6"/>
  <c r="L4" i="6" s="1"/>
  <c r="K3" i="6"/>
  <c r="K4" i="6" s="1"/>
  <c r="J3" i="6"/>
  <c r="J4" i="6" s="1"/>
  <c r="I3" i="6"/>
  <c r="I4" i="6" s="1"/>
  <c r="H3" i="6"/>
  <c r="H4" i="6" s="1"/>
  <c r="G3" i="6"/>
  <c r="G4" i="6" s="1"/>
  <c r="F3" i="6"/>
  <c r="F4" i="6" s="1"/>
  <c r="E3" i="6"/>
  <c r="E4" i="6" s="1"/>
  <c r="D3" i="6"/>
  <c r="D4" i="6" s="1"/>
  <c r="C3" i="6"/>
  <c r="C4" i="6" s="1"/>
  <c r="B3" i="6"/>
  <c r="B4" i="6" s="1"/>
  <c r="A3" i="6"/>
  <c r="AF2" i="6"/>
  <c r="Z2" i="6"/>
  <c r="Y2" i="6"/>
  <c r="S2" i="6"/>
  <c r="R2" i="6"/>
  <c r="L2" i="6"/>
  <c r="K2" i="6"/>
  <c r="E2" i="6"/>
  <c r="D2" i="6"/>
  <c r="A1" i="6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F3" i="5"/>
  <c r="AF4" i="5" s="1"/>
  <c r="AE3" i="5"/>
  <c r="AE4" i="5" s="1"/>
  <c r="AD3" i="5"/>
  <c r="AD4" i="5" s="1"/>
  <c r="AC3" i="5"/>
  <c r="AB3" i="5"/>
  <c r="AA3" i="5"/>
  <c r="AA4" i="5" s="1"/>
  <c r="Z3" i="5"/>
  <c r="Z4" i="5" s="1"/>
  <c r="Y3" i="5"/>
  <c r="Y4" i="5" s="1"/>
  <c r="X3" i="5"/>
  <c r="X4" i="5" s="1"/>
  <c r="W3" i="5"/>
  <c r="W4" i="5" s="1"/>
  <c r="V3" i="5"/>
  <c r="U3" i="5"/>
  <c r="T3" i="5"/>
  <c r="T4" i="5" s="1"/>
  <c r="S3" i="5"/>
  <c r="S4" i="5" s="1"/>
  <c r="R3" i="5"/>
  <c r="R4" i="5" s="1"/>
  <c r="Q3" i="5"/>
  <c r="Q4" i="5" s="1"/>
  <c r="P3" i="5"/>
  <c r="P4" i="5" s="1"/>
  <c r="O3" i="5"/>
  <c r="N3" i="5"/>
  <c r="M3" i="5"/>
  <c r="M4" i="5" s="1"/>
  <c r="L3" i="5"/>
  <c r="L4" i="5" s="1"/>
  <c r="K3" i="5"/>
  <c r="K4" i="5" s="1"/>
  <c r="J3" i="5"/>
  <c r="J4" i="5" s="1"/>
  <c r="I3" i="5"/>
  <c r="I4" i="5" s="1"/>
  <c r="H3" i="5"/>
  <c r="G3" i="5"/>
  <c r="F3" i="5"/>
  <c r="F4" i="5" s="1"/>
  <c r="E3" i="5"/>
  <c r="E4" i="5" s="1"/>
  <c r="D3" i="5"/>
  <c r="D4" i="5" s="1"/>
  <c r="C3" i="5"/>
  <c r="C4" i="5" s="1"/>
  <c r="B3" i="5"/>
  <c r="B4" i="5" s="1"/>
  <c r="A3" i="5"/>
  <c r="A1" i="5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5" i="4"/>
  <c r="AF3" i="4"/>
  <c r="AE3" i="4"/>
  <c r="AD3" i="4"/>
  <c r="AC3" i="4"/>
  <c r="AB3" i="4"/>
  <c r="AA3" i="4"/>
  <c r="AA4" i="4" s="1"/>
  <c r="Z3" i="4"/>
  <c r="Z4" i="4" s="1"/>
  <c r="Y3" i="4"/>
  <c r="Y4" i="4" s="1"/>
  <c r="X3" i="4"/>
  <c r="X4" i="4" s="1"/>
  <c r="W3" i="4"/>
  <c r="W4" i="4" s="1"/>
  <c r="V3" i="4"/>
  <c r="U3" i="4"/>
  <c r="T3" i="4"/>
  <c r="T4" i="4" s="1"/>
  <c r="S3" i="4"/>
  <c r="S4" i="4" s="1"/>
  <c r="R3" i="4"/>
  <c r="R4" i="4" s="1"/>
  <c r="Q3" i="4"/>
  <c r="Q4" i="4" s="1"/>
  <c r="P3" i="4"/>
  <c r="P4" i="4" s="1"/>
  <c r="O3" i="4"/>
  <c r="N3" i="4"/>
  <c r="M3" i="4"/>
  <c r="M4" i="4" s="1"/>
  <c r="L3" i="4"/>
  <c r="L4" i="4" s="1"/>
  <c r="K3" i="4"/>
  <c r="K4" i="4" s="1"/>
  <c r="J3" i="4"/>
  <c r="J4" i="4" s="1"/>
  <c r="I3" i="4"/>
  <c r="I4" i="4" s="1"/>
  <c r="H3" i="4"/>
  <c r="H4" i="4" s="1"/>
  <c r="G3" i="4"/>
  <c r="G4" i="4" s="1"/>
  <c r="F3" i="4"/>
  <c r="F4" i="4" s="1"/>
  <c r="E3" i="4"/>
  <c r="E4" i="4" s="1"/>
  <c r="D3" i="4"/>
  <c r="D4" i="4" s="1"/>
  <c r="C3" i="4"/>
  <c r="C4" i="4" s="1"/>
  <c r="B3" i="4"/>
  <c r="B4" i="4" s="1"/>
  <c r="A3" i="4"/>
  <c r="H2" i="4"/>
  <c r="G2" i="4"/>
  <c r="A1" i="4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F3" i="3"/>
  <c r="AF4" i="3" s="1"/>
  <c r="AE3" i="3"/>
  <c r="AE4" i="3" s="1"/>
  <c r="AD3" i="3"/>
  <c r="AD4" i="3" s="1"/>
  <c r="AC3" i="3"/>
  <c r="AC4" i="3" s="1"/>
  <c r="AB3" i="3"/>
  <c r="AB4" i="3" s="1"/>
  <c r="AA3" i="3"/>
  <c r="AA4" i="3" s="1"/>
  <c r="Z3" i="3"/>
  <c r="Z4" i="3" s="1"/>
  <c r="Y3" i="3"/>
  <c r="Y4" i="3" s="1"/>
  <c r="X3" i="3"/>
  <c r="X4" i="3" s="1"/>
  <c r="W3" i="3"/>
  <c r="V3" i="3"/>
  <c r="U3" i="3"/>
  <c r="T3" i="3"/>
  <c r="S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3" i="3"/>
  <c r="C3" i="3"/>
  <c r="B3" i="3"/>
  <c r="A3" i="3"/>
  <c r="AF2" i="3"/>
  <c r="AE2" i="3"/>
  <c r="Y2" i="3"/>
  <c r="X2" i="3"/>
  <c r="A1" i="3"/>
  <c r="J34" i="2"/>
  <c r="I34" i="2"/>
  <c r="H34" i="2"/>
  <c r="G34" i="2"/>
  <c r="F34" i="2"/>
  <c r="J33" i="2"/>
  <c r="I33" i="2"/>
  <c r="H33" i="2"/>
  <c r="G33" i="2"/>
  <c r="F33" i="2"/>
  <c r="J32" i="2"/>
  <c r="I32" i="2"/>
  <c r="H32" i="2"/>
  <c r="G32" i="2"/>
  <c r="F32" i="2"/>
  <c r="J31" i="2"/>
  <c r="I31" i="2"/>
  <c r="H31" i="2"/>
  <c r="G31" i="2"/>
  <c r="F31" i="2"/>
  <c r="J30" i="2"/>
  <c r="I30" i="2"/>
  <c r="H30" i="2"/>
  <c r="G30" i="2"/>
  <c r="F30" i="2"/>
  <c r="J29" i="2"/>
  <c r="I29" i="2"/>
  <c r="H29" i="2"/>
  <c r="G29" i="2"/>
  <c r="F29" i="2"/>
  <c r="J28" i="2"/>
  <c r="I28" i="2"/>
  <c r="H28" i="2"/>
  <c r="G28" i="2"/>
  <c r="F28" i="2"/>
  <c r="J27" i="2"/>
  <c r="I27" i="2"/>
  <c r="H27" i="2"/>
  <c r="G27" i="2"/>
  <c r="F27" i="2"/>
  <c r="J26" i="2"/>
  <c r="I26" i="2"/>
  <c r="H26" i="2"/>
  <c r="G26" i="2"/>
  <c r="F26" i="2"/>
  <c r="J25" i="2"/>
  <c r="I25" i="2"/>
  <c r="H25" i="2"/>
  <c r="G25" i="2"/>
  <c r="F25" i="2"/>
  <c r="J24" i="2"/>
  <c r="I24" i="2"/>
  <c r="H24" i="2"/>
  <c r="G24" i="2"/>
  <c r="F24" i="2"/>
  <c r="J23" i="2"/>
  <c r="I23" i="2"/>
  <c r="H23" i="2"/>
  <c r="G23" i="2"/>
  <c r="F23" i="2"/>
  <c r="J22" i="2"/>
  <c r="I22" i="2"/>
  <c r="H22" i="2"/>
  <c r="G22" i="2"/>
  <c r="F22" i="2"/>
  <c r="J21" i="2"/>
  <c r="I21" i="2"/>
  <c r="H21" i="2"/>
  <c r="G21" i="2"/>
  <c r="F21" i="2"/>
  <c r="J20" i="2"/>
  <c r="I20" i="2"/>
  <c r="H20" i="2"/>
  <c r="G20" i="2"/>
  <c r="F20" i="2"/>
  <c r="J19" i="2"/>
  <c r="I19" i="2"/>
  <c r="H19" i="2"/>
  <c r="G19" i="2"/>
  <c r="F19" i="2"/>
  <c r="J18" i="2"/>
  <c r="I18" i="2"/>
  <c r="H18" i="2"/>
  <c r="G18" i="2"/>
  <c r="F18" i="2"/>
  <c r="J17" i="2"/>
  <c r="I17" i="2"/>
  <c r="H17" i="2"/>
  <c r="G17" i="2"/>
  <c r="F17" i="2"/>
  <c r="J16" i="2"/>
  <c r="I16" i="2"/>
  <c r="H16" i="2"/>
  <c r="G16" i="2"/>
  <c r="F16" i="2"/>
  <c r="J15" i="2"/>
  <c r="I15" i="2"/>
  <c r="H15" i="2"/>
  <c r="G15" i="2"/>
  <c r="F15" i="2"/>
  <c r="J14" i="2"/>
  <c r="I14" i="2"/>
  <c r="H14" i="2"/>
  <c r="G14" i="2"/>
  <c r="F14" i="2"/>
  <c r="J13" i="2"/>
  <c r="I13" i="2"/>
  <c r="H13" i="2"/>
  <c r="G13" i="2"/>
  <c r="F13" i="2"/>
  <c r="J12" i="2"/>
  <c r="I12" i="2"/>
  <c r="H12" i="2"/>
  <c r="G12" i="2"/>
  <c r="F12" i="2"/>
  <c r="J11" i="2"/>
  <c r="I11" i="2"/>
  <c r="H11" i="2"/>
  <c r="G11" i="2"/>
  <c r="F11" i="2"/>
  <c r="J10" i="2"/>
  <c r="I10" i="2"/>
  <c r="H10" i="2"/>
  <c r="G10" i="2"/>
  <c r="F10" i="2"/>
  <c r="J9" i="2"/>
  <c r="I9" i="2"/>
  <c r="H9" i="2"/>
  <c r="G9" i="2"/>
  <c r="F9" i="2"/>
  <c r="J8" i="2"/>
  <c r="I8" i="2"/>
  <c r="H8" i="2"/>
  <c r="G8" i="2"/>
  <c r="F8" i="2"/>
  <c r="J7" i="2"/>
  <c r="I7" i="2"/>
  <c r="H7" i="2"/>
  <c r="G7" i="2"/>
  <c r="F7" i="2"/>
  <c r="F6" i="2"/>
  <c r="F5" i="2"/>
  <c r="A1" i="2"/>
  <c r="AA4" i="14" l="1"/>
  <c r="AA2" i="14"/>
  <c r="Z4" i="14"/>
  <c r="Z2" i="14"/>
  <c r="AF4" i="13"/>
  <c r="AF2" i="13"/>
  <c r="D4" i="12"/>
  <c r="D2" i="12"/>
  <c r="C4" i="12"/>
  <c r="C2" i="12"/>
  <c r="AF4" i="9"/>
  <c r="AF2" i="9"/>
  <c r="Z4" i="9"/>
  <c r="Z2" i="9"/>
  <c r="Y4" i="9"/>
  <c r="Y2" i="9"/>
  <c r="S4" i="9"/>
  <c r="S2" i="9"/>
  <c r="R4" i="9"/>
  <c r="R2" i="9"/>
  <c r="L4" i="9"/>
  <c r="L2" i="9"/>
  <c r="K4" i="9"/>
  <c r="K2" i="9"/>
  <c r="AE4" i="7"/>
  <c r="AE2" i="7"/>
  <c r="AD4" i="7"/>
  <c r="AD2" i="7"/>
  <c r="AC4" i="5"/>
  <c r="AC2" i="5"/>
  <c r="AB4" i="5"/>
  <c r="AB2" i="5"/>
  <c r="V4" i="5"/>
  <c r="V2" i="5"/>
  <c r="U4" i="5"/>
  <c r="U2" i="5"/>
  <c r="O4" i="5"/>
  <c r="O2" i="5"/>
  <c r="N4" i="5"/>
  <c r="N2" i="5"/>
  <c r="H4" i="5"/>
  <c r="H2" i="5"/>
  <c r="G4" i="5"/>
  <c r="G2" i="5"/>
  <c r="AF4" i="4"/>
  <c r="AF2" i="4"/>
  <c r="AE4" i="4"/>
  <c r="AE2" i="4"/>
  <c r="AD4" i="4"/>
  <c r="AD2" i="4"/>
  <c r="AC4" i="4"/>
  <c r="AC2" i="4"/>
  <c r="AB4" i="4"/>
  <c r="AB2" i="4"/>
  <c r="V4" i="4"/>
  <c r="V2" i="4"/>
  <c r="U4" i="4"/>
  <c r="U2" i="4"/>
  <c r="O4" i="4"/>
  <c r="O2" i="4"/>
  <c r="N4" i="4"/>
  <c r="N2" i="4"/>
  <c r="B11" i="15"/>
  <c r="T11" i="15" s="1"/>
  <c r="B9" i="15"/>
  <c r="T9" i="15" s="1"/>
  <c r="B12" i="15"/>
  <c r="T12" i="15" s="1"/>
  <c r="B13" i="15"/>
  <c r="T13" i="15" s="1"/>
  <c r="B8" i="15"/>
  <c r="T8" i="15" s="1"/>
  <c r="AF4" i="11"/>
  <c r="AF2" i="11"/>
  <c r="AE4" i="11"/>
  <c r="AD4" i="11"/>
  <c r="AC4" i="11"/>
  <c r="AB4" i="11"/>
  <c r="AA2" i="11"/>
  <c r="AA4" i="11"/>
  <c r="Z4" i="11"/>
  <c r="Z2" i="11"/>
  <c r="Y4" i="11"/>
  <c r="X4" i="11"/>
  <c r="W4" i="11"/>
  <c r="V4" i="11"/>
  <c r="U4" i="11"/>
  <c r="T4" i="11"/>
  <c r="T2" i="11"/>
  <c r="S4" i="11"/>
  <c r="S2" i="11"/>
  <c r="R4" i="11"/>
  <c r="Q4" i="11"/>
  <c r="P4" i="11"/>
  <c r="O4" i="11"/>
  <c r="N4" i="11"/>
  <c r="M4" i="11"/>
  <c r="M2" i="11"/>
  <c r="L4" i="11"/>
  <c r="L2" i="11"/>
  <c r="K4" i="11"/>
  <c r="J4" i="11"/>
  <c r="I4" i="11"/>
  <c r="H4" i="11"/>
  <c r="G4" i="11"/>
  <c r="F4" i="11"/>
  <c r="F2" i="11"/>
  <c r="E4" i="11"/>
  <c r="E2" i="11"/>
  <c r="D4" i="11"/>
  <c r="W4" i="3"/>
  <c r="V4" i="3"/>
  <c r="U4" i="3"/>
  <c r="T4" i="3"/>
  <c r="S4" i="3"/>
  <c r="R4" i="3"/>
  <c r="R2" i="3"/>
  <c r="Q4" i="3"/>
  <c r="Q2" i="3"/>
  <c r="P4" i="3"/>
  <c r="O4" i="3"/>
  <c r="N4" i="3"/>
  <c r="M4" i="3"/>
  <c r="L4" i="3"/>
  <c r="K2" i="3"/>
  <c r="K4" i="3"/>
  <c r="J4" i="3"/>
  <c r="J2" i="3"/>
  <c r="I4" i="3"/>
  <c r="H4" i="3"/>
  <c r="G4" i="3"/>
  <c r="F4" i="3"/>
  <c r="E4" i="3"/>
  <c r="D2" i="3"/>
  <c r="D4" i="3"/>
  <c r="C4" i="3"/>
  <c r="C2" i="3"/>
  <c r="B4" i="3"/>
  <c r="J2" i="10" l="1"/>
  <c r="G2" i="3"/>
  <c r="Z2" i="3"/>
  <c r="H2" i="3"/>
  <c r="N2" i="3"/>
  <c r="M2" i="3"/>
  <c r="L2" i="3"/>
  <c r="I2" i="3"/>
  <c r="E2" i="10"/>
  <c r="C2" i="10"/>
  <c r="AA2" i="3"/>
  <c r="F2" i="3"/>
  <c r="B2" i="3"/>
  <c r="O2" i="3"/>
  <c r="E2" i="3"/>
  <c r="F2" i="10"/>
  <c r="D2" i="10"/>
  <c r="U2" i="10"/>
  <c r="T2" i="10"/>
  <c r="R2" i="10"/>
  <c r="Q2" i="10"/>
  <c r="L2" i="10"/>
  <c r="G2" i="10"/>
  <c r="N2" i="9"/>
  <c r="S2" i="10"/>
  <c r="N2" i="10"/>
  <c r="K2" i="10"/>
  <c r="U2" i="3"/>
  <c r="T2" i="3"/>
  <c r="S2" i="3"/>
  <c r="P2" i="3"/>
  <c r="W2" i="3"/>
  <c r="V2" i="3"/>
  <c r="B2" i="5"/>
  <c r="C2" i="5"/>
  <c r="D2" i="5"/>
  <c r="E2" i="5"/>
  <c r="F2" i="5"/>
  <c r="I2" i="5"/>
  <c r="J2" i="5"/>
  <c r="H2" i="6"/>
  <c r="N2" i="6"/>
  <c r="Q2" i="6"/>
  <c r="T2" i="6"/>
  <c r="W2" i="6"/>
  <c r="AB2" i="6"/>
  <c r="AE2" i="6"/>
  <c r="B2" i="6"/>
  <c r="F2" i="6"/>
  <c r="I2" i="6"/>
  <c r="M2" i="6"/>
  <c r="P2" i="6"/>
  <c r="V2" i="6"/>
  <c r="AC2" i="6"/>
  <c r="C2" i="6"/>
  <c r="G2" i="6"/>
  <c r="J2" i="6"/>
  <c r="O2" i="6"/>
  <c r="U2" i="6"/>
  <c r="X2" i="6"/>
  <c r="AA2" i="6"/>
  <c r="AD2" i="6"/>
  <c r="C2" i="11"/>
  <c r="B2" i="12"/>
  <c r="E2" i="12"/>
  <c r="F2" i="12"/>
  <c r="G2" i="12"/>
  <c r="H2" i="12"/>
  <c r="I2" i="12"/>
  <c r="L2" i="12"/>
  <c r="M2" i="12"/>
  <c r="N2" i="12"/>
  <c r="O2" i="12"/>
  <c r="P2" i="12"/>
  <c r="S2" i="12"/>
  <c r="T2" i="12"/>
  <c r="B2" i="14"/>
  <c r="C2" i="14"/>
  <c r="D2" i="14"/>
  <c r="G2" i="14"/>
  <c r="H2" i="14"/>
  <c r="I2" i="14"/>
  <c r="J2" i="14"/>
  <c r="K2" i="14"/>
  <c r="N2" i="14"/>
  <c r="O2" i="14"/>
  <c r="P2" i="14"/>
  <c r="Q2" i="14"/>
  <c r="R2" i="14"/>
  <c r="U2" i="14"/>
  <c r="V2" i="14"/>
  <c r="W2" i="14"/>
  <c r="X2" i="14"/>
  <c r="Y2" i="14"/>
  <c r="AB2" i="14"/>
  <c r="AC2" i="14"/>
  <c r="AD2" i="14"/>
  <c r="AE2" i="14"/>
  <c r="AF2" i="14"/>
  <c r="AF2" i="10"/>
  <c r="Y2" i="10"/>
  <c r="AE2" i="10"/>
  <c r="AB2" i="10"/>
  <c r="AA2" i="10"/>
  <c r="Z2" i="10"/>
  <c r="AI23" i="10" s="1"/>
  <c r="AD2" i="11"/>
  <c r="AB2" i="11"/>
  <c r="X2" i="11"/>
  <c r="V2" i="11"/>
  <c r="AE2" i="11"/>
  <c r="AC2" i="11"/>
  <c r="Y2" i="11"/>
  <c r="W2" i="11"/>
  <c r="X2" i="10"/>
  <c r="U2" i="11"/>
  <c r="D2" i="8"/>
  <c r="C2" i="8"/>
  <c r="B2" i="8"/>
  <c r="O2" i="7"/>
  <c r="S2" i="7"/>
  <c r="T2" i="7"/>
  <c r="U2" i="7"/>
  <c r="Z2" i="7"/>
  <c r="AA2" i="7"/>
  <c r="AF2" i="7"/>
  <c r="W2" i="13"/>
  <c r="AB2" i="3"/>
  <c r="AC2" i="3"/>
  <c r="AD2" i="3"/>
  <c r="B2" i="4"/>
  <c r="C2" i="4"/>
  <c r="D2" i="4"/>
  <c r="AE2" i="13"/>
  <c r="AD2" i="13"/>
  <c r="AA2" i="13"/>
  <c r="Z2" i="13"/>
  <c r="Y2" i="13"/>
  <c r="X2" i="13"/>
  <c r="E2" i="4"/>
  <c r="T2" i="13"/>
  <c r="S2" i="13"/>
  <c r="R2" i="13"/>
  <c r="Q2" i="13"/>
  <c r="P2" i="13"/>
  <c r="M2" i="13"/>
  <c r="L2" i="13"/>
  <c r="K2" i="13"/>
  <c r="J2" i="13"/>
  <c r="I2" i="13"/>
  <c r="F2" i="13"/>
  <c r="E2" i="13"/>
  <c r="D2" i="13"/>
  <c r="C2" i="13"/>
  <c r="B2" i="13"/>
  <c r="F2" i="4"/>
  <c r="I2" i="4"/>
  <c r="J2" i="4"/>
  <c r="K2" i="4"/>
  <c r="L2" i="4"/>
  <c r="M2" i="4"/>
  <c r="Q2" i="4"/>
  <c r="R2" i="4"/>
  <c r="S2" i="4"/>
  <c r="T2" i="4"/>
  <c r="W2" i="4"/>
  <c r="X2" i="4"/>
  <c r="Y2" i="4"/>
  <c r="Z2" i="4"/>
  <c r="AA2" i="4"/>
  <c r="AE2" i="9"/>
  <c r="W2" i="9"/>
  <c r="U2" i="9"/>
  <c r="Q2" i="9"/>
  <c r="AD2" i="12"/>
  <c r="AB2" i="12"/>
  <c r="Z2" i="12"/>
  <c r="V2" i="12"/>
  <c r="O2" i="9"/>
  <c r="M2" i="9"/>
  <c r="W2" i="5"/>
  <c r="Z2" i="5"/>
  <c r="AE2" i="5"/>
  <c r="Q2" i="8"/>
  <c r="P2" i="8"/>
  <c r="O2" i="8"/>
  <c r="L2" i="8"/>
  <c r="AD2" i="9"/>
  <c r="AC2" i="9"/>
  <c r="AB2" i="9"/>
  <c r="AA2" i="9"/>
  <c r="X2" i="9"/>
  <c r="V2" i="9"/>
  <c r="T2" i="9"/>
  <c r="P2" i="9"/>
  <c r="AC2" i="12"/>
  <c r="AA2" i="12"/>
  <c r="W2" i="12"/>
  <c r="U2" i="12"/>
  <c r="M2" i="10"/>
  <c r="T2" i="5"/>
  <c r="Y2" i="5"/>
  <c r="AD2" i="5"/>
  <c r="J2" i="9"/>
  <c r="I2" i="9"/>
  <c r="H2" i="9"/>
  <c r="G2" i="9"/>
  <c r="F2" i="9"/>
  <c r="C2" i="9"/>
  <c r="B2" i="9"/>
  <c r="K2" i="5"/>
  <c r="L2" i="5"/>
  <c r="M2" i="5"/>
  <c r="P2" i="5"/>
  <c r="Q2" i="5"/>
  <c r="R2" i="5"/>
  <c r="S2" i="5"/>
  <c r="X2" i="5"/>
  <c r="AA2" i="5"/>
  <c r="K2" i="8"/>
  <c r="AF2" i="5"/>
  <c r="P2" i="4"/>
  <c r="D2" i="7"/>
  <c r="F2" i="7"/>
  <c r="B2" i="11"/>
  <c r="H2" i="7"/>
  <c r="K2" i="7"/>
  <c r="M2" i="7"/>
  <c r="R2" i="7"/>
  <c r="V2" i="7"/>
  <c r="Y2" i="7"/>
  <c r="AB2" i="7"/>
  <c r="AC2" i="7"/>
  <c r="E2" i="7"/>
  <c r="G2" i="7"/>
  <c r="L2" i="7"/>
  <c r="N2" i="7"/>
  <c r="AE2" i="8"/>
  <c r="AD2" i="8"/>
  <c r="AC2" i="8"/>
  <c r="Z2" i="8"/>
  <c r="Y2" i="8"/>
  <c r="X2" i="8"/>
  <c r="W2" i="8"/>
  <c r="V2" i="8"/>
  <c r="S2" i="8"/>
  <c r="R2" i="8"/>
  <c r="J2" i="8"/>
  <c r="I2" i="8"/>
  <c r="H2" i="8"/>
  <c r="E2" i="8"/>
  <c r="R2" i="11"/>
  <c r="Q2" i="11"/>
  <c r="P2" i="11"/>
  <c r="O2" i="11"/>
  <c r="N2" i="11"/>
  <c r="K2" i="11"/>
  <c r="J2" i="11"/>
  <c r="I2" i="11"/>
  <c r="H2" i="11"/>
  <c r="G2" i="11"/>
  <c r="D2" i="11"/>
  <c r="AH5" i="5" l="1"/>
  <c r="AI5" i="5"/>
  <c r="AJ5" i="5"/>
  <c r="AH6" i="5"/>
  <c r="AI6" i="5"/>
  <c r="AJ6" i="5"/>
  <c r="AH7" i="5"/>
  <c r="AI7" i="5"/>
  <c r="AJ7" i="5"/>
  <c r="AH8" i="5"/>
  <c r="AI8" i="5"/>
  <c r="AJ8" i="5"/>
  <c r="AH9" i="5"/>
  <c r="AI9" i="5"/>
  <c r="AH11" i="5"/>
  <c r="AJ11" i="5"/>
  <c r="AH13" i="5"/>
  <c r="AJ13" i="5"/>
  <c r="AI14" i="5"/>
  <c r="AI15" i="5"/>
  <c r="AJ16" i="5"/>
  <c r="AH18" i="5"/>
  <c r="AJ18" i="5"/>
  <c r="AI19" i="5"/>
  <c r="AJ20" i="5"/>
  <c r="AJ21" i="5"/>
  <c r="AI22" i="5"/>
  <c r="AJ23" i="5"/>
  <c r="AJ24" i="5"/>
  <c r="AJ25" i="5"/>
  <c r="AJ26" i="5"/>
  <c r="AJ27" i="5"/>
  <c r="AJ28" i="5"/>
  <c r="AI29" i="5"/>
  <c r="AH30" i="5"/>
  <c r="AJ30" i="5"/>
  <c r="AI31" i="5"/>
  <c r="AI32" i="5"/>
  <c r="AI33" i="5"/>
  <c r="AH34" i="5"/>
  <c r="AH10" i="5"/>
  <c r="AJ10" i="5"/>
  <c r="AI11" i="5"/>
  <c r="AI12" i="5"/>
  <c r="AI13" i="5"/>
  <c r="AJ14" i="5"/>
  <c r="AH16" i="5"/>
  <c r="AH17" i="5"/>
  <c r="AJ17" i="5"/>
  <c r="AI18" i="5"/>
  <c r="AJ19" i="5"/>
  <c r="AI20" i="5"/>
  <c r="AI21" i="5"/>
  <c r="AJ22" i="5"/>
  <c r="AI23" i="5"/>
  <c r="AI24" i="5"/>
  <c r="AI25" i="5"/>
  <c r="AI26" i="5"/>
  <c r="AI27" i="5"/>
  <c r="AI28" i="5"/>
  <c r="AH32" i="5"/>
  <c r="AH33" i="5"/>
  <c r="AJ34" i="5"/>
  <c r="AJ9" i="5"/>
  <c r="AI10" i="5"/>
  <c r="AH12" i="5"/>
  <c r="AJ12" i="5"/>
  <c r="AH14" i="5"/>
  <c r="AH15" i="5"/>
  <c r="AJ15" i="5"/>
  <c r="AI16" i="5"/>
  <c r="AI17" i="5"/>
  <c r="AH19" i="5"/>
  <c r="AH20" i="5"/>
  <c r="AH21" i="5"/>
  <c r="AH22" i="5"/>
  <c r="AH23" i="5"/>
  <c r="AH24" i="5"/>
  <c r="AH25" i="5"/>
  <c r="AH26" i="5"/>
  <c r="AH27" i="5"/>
  <c r="AH28" i="5"/>
  <c r="AH29" i="5"/>
  <c r="AJ29" i="5"/>
  <c r="AI30" i="5"/>
  <c r="AH31" i="5"/>
  <c r="AJ31" i="5"/>
  <c r="AJ32" i="5"/>
  <c r="AJ33" i="5"/>
  <c r="AI34" i="5"/>
  <c r="A36" i="5"/>
  <c r="AH5" i="6"/>
  <c r="AJ5" i="6"/>
  <c r="AI6" i="6"/>
  <c r="AI7" i="6"/>
  <c r="AH8" i="6"/>
  <c r="AJ9" i="6"/>
  <c r="AI10" i="6"/>
  <c r="AJ11" i="6"/>
  <c r="AJ12" i="6"/>
  <c r="AJ13" i="6"/>
  <c r="AI14" i="6"/>
  <c r="AJ15" i="6"/>
  <c r="A36" i="6"/>
  <c r="AI5" i="6"/>
  <c r="AH6" i="6"/>
  <c r="AJ6" i="6"/>
  <c r="AH7" i="6"/>
  <c r="AJ7" i="6"/>
  <c r="AI8" i="6"/>
  <c r="AJ8" i="6"/>
  <c r="AH9" i="6"/>
  <c r="AI9" i="6"/>
  <c r="AH10" i="6"/>
  <c r="AJ10" i="6"/>
  <c r="AH11" i="6"/>
  <c r="AI11" i="6"/>
  <c r="AH12" i="6"/>
  <c r="AI12" i="6"/>
  <c r="AH13" i="6"/>
  <c r="AI13" i="6"/>
  <c r="AH14" i="6"/>
  <c r="AJ14" i="6"/>
  <c r="AH15" i="6"/>
  <c r="AI15" i="6"/>
  <c r="AH16" i="6"/>
  <c r="AI16" i="6"/>
  <c r="AJ16" i="6"/>
  <c r="AH17" i="6"/>
  <c r="AI17" i="6"/>
  <c r="AJ17" i="6"/>
  <c r="AH18" i="6"/>
  <c r="AI18" i="6"/>
  <c r="AJ18" i="6"/>
  <c r="AH19" i="6"/>
  <c r="AI19" i="6"/>
  <c r="AJ19" i="6"/>
  <c r="AH20" i="6"/>
  <c r="AI20" i="6"/>
  <c r="AJ20" i="6"/>
  <c r="AH21" i="6"/>
  <c r="AI21" i="6"/>
  <c r="AJ21" i="6"/>
  <c r="AH22" i="6"/>
  <c r="AI22" i="6"/>
  <c r="AJ22" i="6"/>
  <c r="AH23" i="6"/>
  <c r="AI23" i="6"/>
  <c r="AJ23" i="6"/>
  <c r="AH24" i="6"/>
  <c r="AI24" i="6"/>
  <c r="AJ24" i="6"/>
  <c r="AH25" i="6"/>
  <c r="AI25" i="6"/>
  <c r="AJ25" i="6"/>
  <c r="AH26" i="6"/>
  <c r="AI26" i="6"/>
  <c r="AJ26" i="6"/>
  <c r="AH27" i="6"/>
  <c r="AI27" i="6"/>
  <c r="AJ27" i="6"/>
  <c r="AH28" i="6"/>
  <c r="AI28" i="6"/>
  <c r="AJ28" i="6"/>
  <c r="AH29" i="6"/>
  <c r="AI29" i="6"/>
  <c r="AJ29" i="6"/>
  <c r="AH30" i="6"/>
  <c r="AI30" i="6"/>
  <c r="AJ30" i="6"/>
  <c r="AH31" i="6"/>
  <c r="AI31" i="6"/>
  <c r="AJ31" i="6"/>
  <c r="AH32" i="6"/>
  <c r="AI32" i="6"/>
  <c r="AJ32" i="6"/>
  <c r="AH33" i="6"/>
  <c r="AI33" i="6"/>
  <c r="AJ33" i="6"/>
  <c r="AH34" i="6"/>
  <c r="AI34" i="6"/>
  <c r="AJ34" i="6"/>
  <c r="AH5" i="12"/>
  <c r="AI5" i="12"/>
  <c r="AJ5" i="12"/>
  <c r="AH6" i="12"/>
  <c r="AI6" i="12"/>
  <c r="AJ6" i="12"/>
  <c r="AH7" i="12"/>
  <c r="AI7" i="12"/>
  <c r="AJ7" i="12"/>
  <c r="AH8" i="12"/>
  <c r="AI8" i="12"/>
  <c r="AJ8" i="12"/>
  <c r="AH9" i="12"/>
  <c r="AI9" i="12"/>
  <c r="AJ9" i="12"/>
  <c r="AH10" i="12"/>
  <c r="AI10" i="12"/>
  <c r="AJ10" i="12"/>
  <c r="AH11" i="12"/>
  <c r="AI11" i="12"/>
  <c r="AJ11" i="12"/>
  <c r="AH12" i="12"/>
  <c r="AI12" i="12"/>
  <c r="AJ12" i="12"/>
  <c r="AH13" i="12"/>
  <c r="AI13" i="12"/>
  <c r="AJ13" i="12"/>
  <c r="AH14" i="12"/>
  <c r="AI14" i="12"/>
  <c r="AJ14" i="12"/>
  <c r="AH15" i="12"/>
  <c r="AI15" i="12"/>
  <c r="AJ15" i="12"/>
  <c r="AH16" i="12"/>
  <c r="AI16" i="12"/>
  <c r="AJ16" i="12"/>
  <c r="AH17" i="12"/>
  <c r="AI17" i="12"/>
  <c r="AJ17" i="12"/>
  <c r="AH18" i="12"/>
  <c r="AI18" i="12"/>
  <c r="AJ18" i="12"/>
  <c r="AH19" i="12"/>
  <c r="AI19" i="12"/>
  <c r="AJ19" i="12"/>
  <c r="AH20" i="12"/>
  <c r="AI20" i="12"/>
  <c r="AJ20" i="12"/>
  <c r="AH21" i="12"/>
  <c r="AI21" i="12"/>
  <c r="AJ21" i="12"/>
  <c r="AH22" i="12"/>
  <c r="AI22" i="12"/>
  <c r="AJ22" i="12"/>
  <c r="AJ34" i="12"/>
  <c r="A36" i="12"/>
  <c r="AH23" i="12"/>
  <c r="AI26" i="12"/>
  <c r="AH29" i="12"/>
  <c r="AI31" i="12"/>
  <c r="AJ33" i="12"/>
  <c r="AH25" i="12"/>
  <c r="AJ28" i="12"/>
  <c r="AI30" i="12"/>
  <c r="AI32" i="12"/>
  <c r="AI23" i="12"/>
  <c r="AJ25" i="12"/>
  <c r="AH28" i="12"/>
  <c r="AJ30" i="12"/>
  <c r="AI34" i="12"/>
  <c r="AI24" i="12"/>
  <c r="AH27" i="12"/>
  <c r="AI29" i="12"/>
  <c r="AH32" i="12"/>
  <c r="AH34" i="12"/>
  <c r="AH24" i="12"/>
  <c r="AJ26" i="12"/>
  <c r="AI28" i="12"/>
  <c r="AH31" i="12"/>
  <c r="AI33" i="12"/>
  <c r="AJ23" i="12"/>
  <c r="AI25" i="12"/>
  <c r="AI27" i="12"/>
  <c r="AH30" i="12"/>
  <c r="AJ32" i="12"/>
  <c r="AJ24" i="12"/>
  <c r="AH26" i="12"/>
  <c r="AJ27" i="12"/>
  <c r="AJ29" i="12"/>
  <c r="AJ31" i="12"/>
  <c r="AH33" i="12"/>
  <c r="AI5" i="14"/>
  <c r="AH6" i="14"/>
  <c r="AJ6" i="14"/>
  <c r="AI7" i="14"/>
  <c r="AH8" i="14"/>
  <c r="AJ8" i="14"/>
  <c r="AI9" i="14"/>
  <c r="AH10" i="14"/>
  <c r="AJ10" i="14"/>
  <c r="AH11" i="14"/>
  <c r="AI11" i="14"/>
  <c r="AI12" i="14"/>
  <c r="AI13" i="14"/>
  <c r="AI14" i="14"/>
  <c r="AJ14" i="14"/>
  <c r="AH15" i="14"/>
  <c r="AJ15" i="14"/>
  <c r="AH16" i="14"/>
  <c r="AJ16" i="14"/>
  <c r="AH17" i="14"/>
  <c r="AI17" i="14"/>
  <c r="AH18" i="14"/>
  <c r="AJ18" i="14"/>
  <c r="AH19" i="14"/>
  <c r="AJ19" i="14"/>
  <c r="AH20" i="14"/>
  <c r="AJ20" i="14"/>
  <c r="AI21" i="14"/>
  <c r="AH22" i="14"/>
  <c r="AJ22" i="14"/>
  <c r="AH23" i="14"/>
  <c r="AI24" i="14"/>
  <c r="AH25" i="14"/>
  <c r="AJ25" i="14"/>
  <c r="AH26" i="14"/>
  <c r="AJ26" i="14"/>
  <c r="AH27" i="14"/>
  <c r="AJ27" i="14"/>
  <c r="AH28" i="14"/>
  <c r="AJ28" i="14"/>
  <c r="AH29" i="14"/>
  <c r="AJ29" i="14"/>
  <c r="AI30" i="14"/>
  <c r="A36" i="14"/>
  <c r="AH13" i="14"/>
  <c r="AH5" i="14"/>
  <c r="AJ5" i="14"/>
  <c r="AI6" i="14"/>
  <c r="AH7" i="14"/>
  <c r="AJ7" i="14"/>
  <c r="AI8" i="14"/>
  <c r="AH9" i="14"/>
  <c r="AJ9" i="14"/>
  <c r="AI10" i="14"/>
  <c r="AJ11" i="14"/>
  <c r="AH12" i="14"/>
  <c r="AJ12" i="14"/>
  <c r="AJ13" i="14"/>
  <c r="AH14" i="14"/>
  <c r="AI15" i="14"/>
  <c r="AI16" i="14"/>
  <c r="AJ17" i="14"/>
  <c r="AI18" i="14"/>
  <c r="AI19" i="14"/>
  <c r="AI20" i="14"/>
  <c r="AH21" i="14"/>
  <c r="AJ21" i="14"/>
  <c r="AI22" i="14"/>
  <c r="AI23" i="14"/>
  <c r="AJ23" i="14"/>
  <c r="AH24" i="14"/>
  <c r="AJ24" i="14"/>
  <c r="AI25" i="14"/>
  <c r="AI26" i="14"/>
  <c r="AI27" i="14"/>
  <c r="AI28" i="14"/>
  <c r="AI29" i="14"/>
  <c r="AH30" i="14"/>
  <c r="AJ30" i="14"/>
  <c r="AH31" i="14"/>
  <c r="AI31" i="14"/>
  <c r="AJ31" i="14"/>
  <c r="AH32" i="14"/>
  <c r="AI32" i="14"/>
  <c r="AJ32" i="14"/>
  <c r="AH33" i="14"/>
  <c r="AI33" i="14"/>
  <c r="AJ33" i="14"/>
  <c r="AH34" i="14"/>
  <c r="AI34" i="14"/>
  <c r="AJ34" i="14"/>
  <c r="A36" i="8"/>
  <c r="AJ34" i="8"/>
  <c r="AI34" i="8"/>
  <c r="AH34" i="8"/>
  <c r="AJ33" i="8"/>
  <c r="AI33" i="8"/>
  <c r="AH33" i="8"/>
  <c r="AJ32" i="8"/>
  <c r="AI32" i="8"/>
  <c r="AH32" i="8"/>
  <c r="AJ31" i="8"/>
  <c r="AI31" i="8"/>
  <c r="AH31" i="8"/>
  <c r="AJ30" i="8"/>
  <c r="AI30" i="8"/>
  <c r="AH30" i="8"/>
  <c r="AJ29" i="8"/>
  <c r="AI29" i="8"/>
  <c r="AH29" i="8"/>
  <c r="AJ28" i="8"/>
  <c r="AI28" i="8"/>
  <c r="AH28" i="8"/>
  <c r="AJ27" i="8"/>
  <c r="AI27" i="8"/>
  <c r="AH27" i="8"/>
  <c r="AJ26" i="8"/>
  <c r="AI26" i="8"/>
  <c r="AH26" i="8"/>
  <c r="AJ25" i="8"/>
  <c r="AI25" i="8"/>
  <c r="AH25" i="8"/>
  <c r="AJ24" i="8"/>
  <c r="AI24" i="8"/>
  <c r="AH24" i="8"/>
  <c r="AJ23" i="8"/>
  <c r="AI23" i="8"/>
  <c r="AH23" i="8"/>
  <c r="AJ22" i="8"/>
  <c r="AI22" i="8"/>
  <c r="AH22" i="8"/>
  <c r="AJ21" i="8"/>
  <c r="AI21" i="8"/>
  <c r="AH21" i="8"/>
  <c r="AJ20" i="8"/>
  <c r="AI20" i="8"/>
  <c r="AH20" i="8"/>
  <c r="AJ19" i="8"/>
  <c r="AI19" i="8"/>
  <c r="AH19" i="8"/>
  <c r="AJ18" i="8"/>
  <c r="AI18" i="8"/>
  <c r="AH18" i="8"/>
  <c r="AJ17" i="8"/>
  <c r="AI17" i="8"/>
  <c r="AH17" i="8"/>
  <c r="AJ16" i="8"/>
  <c r="AI16" i="8"/>
  <c r="AH16" i="8"/>
  <c r="AJ15" i="8"/>
  <c r="AI15" i="8"/>
  <c r="AH15" i="8"/>
  <c r="AJ14" i="8"/>
  <c r="AI14" i="8"/>
  <c r="AH14" i="8"/>
  <c r="AJ13" i="8"/>
  <c r="AI13" i="8"/>
  <c r="AH13" i="8"/>
  <c r="AJ12" i="8"/>
  <c r="AI12" i="8"/>
  <c r="AH12" i="8"/>
  <c r="AJ11" i="8"/>
  <c r="AI11" i="8"/>
  <c r="AH11" i="8"/>
  <c r="AJ10" i="8"/>
  <c r="AI10" i="8"/>
  <c r="AH10" i="8"/>
  <c r="AJ9" i="8"/>
  <c r="AI9" i="8"/>
  <c r="AH9" i="8"/>
  <c r="AJ8" i="8"/>
  <c r="AI8" i="8"/>
  <c r="AH8" i="8"/>
  <c r="AJ7" i="8"/>
  <c r="AI7" i="8"/>
  <c r="AH7" i="8"/>
  <c r="AJ6" i="8"/>
  <c r="AI6" i="8"/>
  <c r="AH6" i="8"/>
  <c r="AJ5" i="8"/>
  <c r="AI5" i="8"/>
  <c r="AH5" i="8"/>
  <c r="AI25" i="4"/>
  <c r="AI24" i="4"/>
  <c r="AH23" i="4"/>
  <c r="AJ21" i="4"/>
  <c r="AJ20" i="4"/>
  <c r="AH26" i="4"/>
  <c r="AJ24" i="4"/>
  <c r="AI23" i="4"/>
  <c r="AH22" i="4"/>
  <c r="AI20" i="4"/>
  <c r="AJ25" i="4"/>
  <c r="AH24" i="4"/>
  <c r="AJ22" i="4"/>
  <c r="AI21" i="4"/>
  <c r="AH20" i="4"/>
  <c r="A36" i="4"/>
  <c r="AJ34" i="4"/>
  <c r="AI34" i="4"/>
  <c r="AH34" i="4"/>
  <c r="AJ33" i="4"/>
  <c r="AI33" i="4"/>
  <c r="AH33" i="4"/>
  <c r="AJ32" i="4"/>
  <c r="AI32" i="4"/>
  <c r="AH32" i="4"/>
  <c r="AJ31" i="4"/>
  <c r="AI31" i="4"/>
  <c r="AH31" i="4"/>
  <c r="AJ30" i="4"/>
  <c r="AI30" i="4"/>
  <c r="AH30" i="4"/>
  <c r="AJ29" i="4"/>
  <c r="AI29" i="4"/>
  <c r="AH29" i="4"/>
  <c r="AJ28" i="4"/>
  <c r="AI28" i="4"/>
  <c r="AH28" i="4"/>
  <c r="AJ27" i="4"/>
  <c r="AI27" i="4"/>
  <c r="AH27" i="4"/>
  <c r="AJ26" i="4"/>
  <c r="AI26" i="4"/>
  <c r="AH25" i="4"/>
  <c r="AJ23" i="4"/>
  <c r="AI22" i="4"/>
  <c r="AH21" i="4"/>
  <c r="AJ19" i="4"/>
  <c r="AI19" i="4"/>
  <c r="AH19" i="4"/>
  <c r="AJ18" i="4"/>
  <c r="AI18" i="4"/>
  <c r="AH18" i="4"/>
  <c r="AJ17" i="4"/>
  <c r="AI17" i="4"/>
  <c r="AH17" i="4"/>
  <c r="AJ16" i="4"/>
  <c r="AI16" i="4"/>
  <c r="AH16" i="4"/>
  <c r="AJ15" i="4"/>
  <c r="AI15" i="4"/>
  <c r="AH15" i="4"/>
  <c r="AJ14" i="4"/>
  <c r="AI14" i="4"/>
  <c r="AH14" i="4"/>
  <c r="AJ13" i="4"/>
  <c r="AI13" i="4"/>
  <c r="AH13" i="4"/>
  <c r="AJ12" i="4"/>
  <c r="AI12" i="4"/>
  <c r="AH12" i="4"/>
  <c r="AJ11" i="4"/>
  <c r="AI11" i="4"/>
  <c r="AH11" i="4"/>
  <c r="AJ10" i="4"/>
  <c r="AI10" i="4"/>
  <c r="AH10" i="4"/>
  <c r="AJ9" i="4"/>
  <c r="AI9" i="4"/>
  <c r="AH9" i="4"/>
  <c r="AJ8" i="4"/>
  <c r="AI8" i="4"/>
  <c r="AH8" i="4"/>
  <c r="AJ7" i="4"/>
  <c r="AI7" i="4"/>
  <c r="AH7" i="4"/>
  <c r="AJ6" i="4"/>
  <c r="AI6" i="4"/>
  <c r="AH6" i="4"/>
  <c r="AJ5" i="4"/>
  <c r="AI5" i="4"/>
  <c r="AH5" i="4"/>
  <c r="AJ15" i="13"/>
  <c r="AH13" i="13"/>
  <c r="AH17" i="13"/>
  <c r="AI14" i="13"/>
  <c r="AI12" i="13"/>
  <c r="AI16" i="13"/>
  <c r="AH14" i="13"/>
  <c r="AI15" i="13"/>
  <c r="AJ13" i="13"/>
  <c r="AH26" i="13"/>
  <c r="AH25" i="13"/>
  <c r="AH24" i="13"/>
  <c r="AJ22" i="13"/>
  <c r="AI21" i="13"/>
  <c r="AJ20" i="13"/>
  <c r="AH20" i="13"/>
  <c r="AJ18" i="13"/>
  <c r="AH18" i="13"/>
  <c r="AJ16" i="13"/>
  <c r="AJ14" i="13"/>
  <c r="AH27" i="13"/>
  <c r="AJ25" i="13"/>
  <c r="AJ24" i="13"/>
  <c r="AJ23" i="13"/>
  <c r="AH23" i="13"/>
  <c r="AH22" i="13"/>
  <c r="AH21" i="13"/>
  <c r="AI19" i="13"/>
  <c r="AH19" i="13"/>
  <c r="AI17" i="13"/>
  <c r="AH15" i="13"/>
  <c r="AJ12" i="13"/>
  <c r="A36" i="13"/>
  <c r="AJ34" i="13"/>
  <c r="AI34" i="13"/>
  <c r="AH34" i="13"/>
  <c r="AJ33" i="13"/>
  <c r="AI33" i="13"/>
  <c r="AH33" i="13"/>
  <c r="AJ32" i="13"/>
  <c r="AI32" i="13"/>
  <c r="AH32" i="13"/>
  <c r="AJ31" i="13"/>
  <c r="AI31" i="13"/>
  <c r="AH31" i="13"/>
  <c r="AJ30" i="13"/>
  <c r="AI30" i="13"/>
  <c r="AH30" i="13"/>
  <c r="AJ29" i="13"/>
  <c r="AI29" i="13"/>
  <c r="AH29" i="13"/>
  <c r="AJ28" i="13"/>
  <c r="AI28" i="13"/>
  <c r="AH28" i="13"/>
  <c r="AJ27" i="13"/>
  <c r="AI27" i="13"/>
  <c r="AJ26" i="13"/>
  <c r="AI26" i="13"/>
  <c r="AI25" i="13"/>
  <c r="AI24" i="13"/>
  <c r="AI23" i="13"/>
  <c r="AI22" i="13"/>
  <c r="AJ21" i="13"/>
  <c r="AI20" i="13"/>
  <c r="AJ19" i="13"/>
  <c r="AI18" i="13"/>
  <c r="AJ17" i="13"/>
  <c r="AH16" i="13"/>
  <c r="AI13" i="13"/>
  <c r="AH12" i="13"/>
  <c r="AJ11" i="13"/>
  <c r="AI11" i="13"/>
  <c r="AH11" i="13"/>
  <c r="AJ10" i="13"/>
  <c r="AI10" i="13"/>
  <c r="AH10" i="13"/>
  <c r="AJ9" i="13"/>
  <c r="AI9" i="13"/>
  <c r="AH9" i="13"/>
  <c r="AJ8" i="13"/>
  <c r="AI8" i="13"/>
  <c r="AH8" i="13"/>
  <c r="AJ7" i="13"/>
  <c r="AI7" i="13"/>
  <c r="AH7" i="13"/>
  <c r="AJ6" i="13"/>
  <c r="AI6" i="13"/>
  <c r="AH6" i="13"/>
  <c r="AJ5" i="13"/>
  <c r="AI5" i="13"/>
  <c r="AH5" i="13"/>
  <c r="AI23" i="9"/>
  <c r="AH20" i="9"/>
  <c r="AI16" i="9"/>
  <c r="AH13" i="9"/>
  <c r="AJ32" i="9"/>
  <c r="AJ30" i="9"/>
  <c r="AH28" i="9"/>
  <c r="AH25" i="9"/>
  <c r="AH21" i="9"/>
  <c r="AI17" i="9"/>
  <c r="AI14" i="9"/>
  <c r="AJ11" i="9"/>
  <c r="AH32" i="9"/>
  <c r="AJ29" i="9"/>
  <c r="AH27" i="9"/>
  <c r="AJ22" i="9"/>
  <c r="AH19" i="9"/>
  <c r="AI15" i="9"/>
  <c r="AJ12" i="9"/>
  <c r="AI33" i="9"/>
  <c r="AH31" i="9"/>
  <c r="AI27" i="9"/>
  <c r="AJ24" i="9"/>
  <c r="AJ21" i="9"/>
  <c r="AJ18" i="9"/>
  <c r="AH15" i="9"/>
  <c r="AH11" i="9"/>
  <c r="AI34" i="9"/>
  <c r="AI31" i="9"/>
  <c r="AJ28" i="9"/>
  <c r="AH26" i="9"/>
  <c r="AH23" i="9"/>
  <c r="AI19" i="9"/>
  <c r="AJ16" i="9"/>
  <c r="AJ13" i="9"/>
  <c r="AJ31" i="9"/>
  <c r="AH29" i="9"/>
  <c r="AI25" i="9"/>
  <c r="AI22" i="9"/>
  <c r="AJ19" i="9"/>
  <c r="AH16" i="9"/>
  <c r="AH12" i="9"/>
  <c r="AI32" i="9"/>
  <c r="AI30" i="9"/>
  <c r="AJ27" i="9"/>
  <c r="AI24" i="9"/>
  <c r="AI21" i="9"/>
  <c r="AI18" i="9"/>
  <c r="AJ15" i="9"/>
  <c r="AI11" i="9"/>
  <c r="AH33" i="9"/>
  <c r="AI28" i="9"/>
  <c r="AJ25" i="9"/>
  <c r="AH22" i="9"/>
  <c r="AH18" i="9"/>
  <c r="AH14" i="9"/>
  <c r="AJ33" i="9"/>
  <c r="AI29" i="9"/>
  <c r="AJ26" i="9"/>
  <c r="AH24" i="9"/>
  <c r="AJ20" i="9"/>
  <c r="AH17" i="9"/>
  <c r="AI13" i="9"/>
  <c r="AH34" i="9"/>
  <c r="AH30" i="9"/>
  <c r="AI26" i="9"/>
  <c r="AJ23" i="9"/>
  <c r="AI20" i="9"/>
  <c r="AJ17" i="9"/>
  <c r="AJ14" i="9"/>
  <c r="AI12" i="9"/>
  <c r="A36" i="9"/>
  <c r="AJ34" i="9"/>
  <c r="AJ10" i="9"/>
  <c r="AI10" i="9"/>
  <c r="AH10" i="9"/>
  <c r="AJ9" i="9"/>
  <c r="AI9" i="9"/>
  <c r="AH9" i="9"/>
  <c r="AJ8" i="9"/>
  <c r="AI8" i="9"/>
  <c r="AH8" i="9"/>
  <c r="AJ7" i="9"/>
  <c r="AI7" i="9"/>
  <c r="AH7" i="9"/>
  <c r="AJ6" i="9"/>
  <c r="AI6" i="9"/>
  <c r="AH6" i="9"/>
  <c r="AJ5" i="9"/>
  <c r="AI5" i="9"/>
  <c r="AH5" i="9"/>
  <c r="AI34" i="7"/>
  <c r="AH34" i="7"/>
  <c r="AJ33" i="7"/>
  <c r="AI33" i="7"/>
  <c r="AH33" i="7"/>
  <c r="AJ32" i="7"/>
  <c r="AI32" i="7"/>
  <c r="AH32" i="7"/>
  <c r="A36" i="7"/>
  <c r="AJ34" i="7"/>
  <c r="AJ10" i="7"/>
  <c r="AJ12" i="7"/>
  <c r="AH13" i="7"/>
  <c r="AH11" i="7"/>
  <c r="AJ13" i="7"/>
  <c r="AI9" i="7"/>
  <c r="AH14" i="7"/>
  <c r="AH15" i="7"/>
  <c r="AH10" i="7"/>
  <c r="AH12" i="7"/>
  <c r="AI15" i="7"/>
  <c r="AI16" i="7"/>
  <c r="AJ16" i="7"/>
  <c r="AH17" i="7"/>
  <c r="AI17" i="7"/>
  <c r="AJ17" i="7"/>
  <c r="AH18" i="7"/>
  <c r="AI18" i="7"/>
  <c r="AJ18" i="7"/>
  <c r="AH19" i="7"/>
  <c r="AI19" i="7"/>
  <c r="AJ19" i="7"/>
  <c r="AH20" i="7"/>
  <c r="AI20" i="7"/>
  <c r="AJ20" i="7"/>
  <c r="AH21" i="7"/>
  <c r="AI21" i="7"/>
  <c r="AJ21" i="7"/>
  <c r="AH22" i="7"/>
  <c r="AI22" i="7"/>
  <c r="AJ22" i="7"/>
  <c r="AH23" i="7"/>
  <c r="AH9" i="7"/>
  <c r="AI11" i="7"/>
  <c r="AI13" i="7"/>
  <c r="AI23" i="7"/>
  <c r="AI24" i="7"/>
  <c r="AI25" i="7"/>
  <c r="AH26" i="7"/>
  <c r="AI26" i="7"/>
  <c r="AJ26" i="7"/>
  <c r="AH27" i="7"/>
  <c r="AI27" i="7"/>
  <c r="AJ27" i="7"/>
  <c r="AH28" i="7"/>
  <c r="AI28" i="7"/>
  <c r="AJ28" i="7"/>
  <c r="AH29" i="7"/>
  <c r="AJ8" i="7"/>
  <c r="AJ31" i="7"/>
  <c r="AI31" i="7"/>
  <c r="AH31" i="7"/>
  <c r="AI10" i="7"/>
  <c r="AI12" i="7"/>
  <c r="AJ15" i="7"/>
  <c r="AJ23" i="7"/>
  <c r="AH25" i="7"/>
  <c r="AJ30" i="7"/>
  <c r="AH30" i="7"/>
  <c r="AI29" i="7"/>
  <c r="AI5" i="7"/>
  <c r="AI6" i="7"/>
  <c r="AH7" i="7"/>
  <c r="AJ7" i="7"/>
  <c r="AJ9" i="7"/>
  <c r="AJ11" i="7"/>
  <c r="AJ14" i="7"/>
  <c r="AH16" i="7"/>
  <c r="AH24" i="7"/>
  <c r="AJ24" i="7"/>
  <c r="AJ25" i="7"/>
  <c r="AI30" i="7"/>
  <c r="AJ29" i="7"/>
  <c r="AH5" i="7"/>
  <c r="AJ5" i="7"/>
  <c r="AH6" i="7"/>
  <c r="AJ6" i="7"/>
  <c r="AI7" i="7"/>
  <c r="AH8" i="7"/>
  <c r="AI8" i="7"/>
  <c r="AI14" i="7"/>
  <c r="A36" i="11"/>
  <c r="AJ34" i="11"/>
  <c r="AI34" i="11"/>
  <c r="AH34" i="11"/>
  <c r="AJ33" i="11"/>
  <c r="AI33" i="11"/>
  <c r="AH33" i="11"/>
  <c r="AJ32" i="11"/>
  <c r="AI32" i="11"/>
  <c r="AH32" i="11"/>
  <c r="AJ31" i="11"/>
  <c r="AI31" i="11"/>
  <c r="AH31" i="11"/>
  <c r="AJ30" i="11"/>
  <c r="AI30" i="11"/>
  <c r="AH30" i="11"/>
  <c r="AJ29" i="11"/>
  <c r="AI29" i="11"/>
  <c r="AH29" i="11"/>
  <c r="AJ28" i="11"/>
  <c r="AI28" i="11"/>
  <c r="AH28" i="11"/>
  <c r="AJ27" i="11"/>
  <c r="AI27" i="11"/>
  <c r="AH27" i="11"/>
  <c r="AJ26" i="11"/>
  <c r="AI26" i="11"/>
  <c r="AH26" i="11"/>
  <c r="AJ25" i="11"/>
  <c r="AI25" i="11"/>
  <c r="AH25" i="11"/>
  <c r="AJ24" i="11"/>
  <c r="AI24" i="11"/>
  <c r="AH24" i="11"/>
  <c r="AJ23" i="11"/>
  <c r="AI23" i="11"/>
  <c r="AH23" i="11"/>
  <c r="AJ22" i="11"/>
  <c r="AI22" i="11"/>
  <c r="AH22" i="11"/>
  <c r="AJ21" i="11"/>
  <c r="AI21" i="11"/>
  <c r="AH21" i="11"/>
  <c r="AJ20" i="11"/>
  <c r="AI20" i="11"/>
  <c r="AH20" i="11"/>
  <c r="AJ19" i="11"/>
  <c r="AI19" i="11"/>
  <c r="AH19" i="11"/>
  <c r="AJ18" i="11"/>
  <c r="AI18" i="11"/>
  <c r="AH18" i="11"/>
  <c r="AJ17" i="11"/>
  <c r="AI17" i="11"/>
  <c r="AH17" i="11"/>
  <c r="AJ16" i="11"/>
  <c r="AI16" i="11"/>
  <c r="AH16" i="11"/>
  <c r="AJ15" i="11"/>
  <c r="AI15" i="11"/>
  <c r="AH15" i="11"/>
  <c r="AJ14" i="11"/>
  <c r="AI14" i="11"/>
  <c r="AH14" i="11"/>
  <c r="AJ13" i="11"/>
  <c r="AI13" i="11"/>
  <c r="AH13" i="11"/>
  <c r="AJ12" i="11"/>
  <c r="AI12" i="11"/>
  <c r="AH12" i="11"/>
  <c r="AJ11" i="11"/>
  <c r="AI11" i="11"/>
  <c r="AH11" i="11"/>
  <c r="AJ10" i="11"/>
  <c r="AI10" i="11"/>
  <c r="AH10" i="11"/>
  <c r="AJ9" i="11"/>
  <c r="AI9" i="11"/>
  <c r="AH9" i="11"/>
  <c r="AJ8" i="11"/>
  <c r="AI8" i="11"/>
  <c r="AH8" i="11"/>
  <c r="AJ7" i="11"/>
  <c r="AI7" i="11"/>
  <c r="AH7" i="11"/>
  <c r="AJ6" i="11"/>
  <c r="AI6" i="11"/>
  <c r="AH6" i="11"/>
  <c r="AJ5" i="11"/>
  <c r="AI5" i="11"/>
  <c r="AH5" i="11"/>
  <c r="AI29" i="3"/>
  <c r="A36" i="3"/>
  <c r="AJ31" i="3"/>
  <c r="AH31" i="3"/>
  <c r="AH34" i="3"/>
  <c r="AI5" i="3"/>
  <c r="AI6" i="3"/>
  <c r="AH7" i="3"/>
  <c r="AJ7" i="3"/>
  <c r="AI8" i="3"/>
  <c r="AH9" i="3"/>
  <c r="AJ9" i="3"/>
  <c r="AJ26" i="3"/>
  <c r="AJ27" i="3"/>
  <c r="AJ28" i="3"/>
  <c r="AJ29" i="3"/>
  <c r="AJ30" i="3"/>
  <c r="AI34" i="3"/>
  <c r="AH32" i="3"/>
  <c r="AJ32" i="3"/>
  <c r="AJ10" i="3"/>
  <c r="AI11" i="3"/>
  <c r="AH11" i="3"/>
  <c r="AJ11" i="3"/>
  <c r="AH12" i="3"/>
  <c r="AI12" i="3"/>
  <c r="AJ12" i="3"/>
  <c r="AH13" i="3"/>
  <c r="AI13" i="3"/>
  <c r="AJ13" i="3"/>
  <c r="AH14" i="3"/>
  <c r="AI14" i="3"/>
  <c r="AJ14" i="3"/>
  <c r="AH15" i="3"/>
  <c r="AI15" i="3"/>
  <c r="AJ15" i="3"/>
  <c r="AH16" i="3"/>
  <c r="AI16" i="3"/>
  <c r="AJ16" i="3"/>
  <c r="AH17" i="3"/>
  <c r="AI17" i="3"/>
  <c r="AJ17" i="3"/>
  <c r="AH18" i="3"/>
  <c r="AI18" i="3"/>
  <c r="AJ18" i="3"/>
  <c r="AH19" i="3"/>
  <c r="AI19" i="3"/>
  <c r="AH22" i="3"/>
  <c r="AJ22" i="3"/>
  <c r="AI23" i="3"/>
  <c r="AH24" i="3"/>
  <c r="AJ24" i="3"/>
  <c r="AI25" i="3"/>
  <c r="AJ25" i="3"/>
  <c r="AH26" i="3"/>
  <c r="AI26" i="3"/>
  <c r="AH27" i="3"/>
  <c r="AH28" i="3"/>
  <c r="AH29" i="3"/>
  <c r="AJ34" i="3"/>
  <c r="AH33" i="3"/>
  <c r="AJ33" i="3"/>
  <c r="AI31" i="3"/>
  <c r="AJ19" i="3"/>
  <c r="AH20" i="3"/>
  <c r="AI20" i="3"/>
  <c r="AJ20" i="3"/>
  <c r="AI21" i="3"/>
  <c r="AI28" i="3"/>
  <c r="AJ21" i="3"/>
  <c r="AI22" i="3"/>
  <c r="AH23" i="3"/>
  <c r="AJ23" i="3"/>
  <c r="AI24" i="3"/>
  <c r="AH25" i="3"/>
  <c r="AH30" i="3"/>
  <c r="AI32" i="3"/>
  <c r="AI30" i="3"/>
  <c r="AI33" i="3"/>
  <c r="AH5" i="3"/>
  <c r="AJ5" i="3"/>
  <c r="AH6" i="3"/>
  <c r="AJ6" i="3"/>
  <c r="AI7" i="3"/>
  <c r="AH8" i="3"/>
  <c r="AJ8" i="3"/>
  <c r="AI9" i="3"/>
  <c r="AH10" i="3"/>
  <c r="AI10" i="3"/>
  <c r="AI27" i="3"/>
  <c r="AH21" i="3"/>
  <c r="AJ6" i="10"/>
  <c r="AI9" i="10"/>
  <c r="AH10" i="10"/>
  <c r="AJ10" i="10"/>
  <c r="AI11" i="10"/>
  <c r="AH12" i="10"/>
  <c r="AJ12" i="10"/>
  <c r="AI13" i="10"/>
  <c r="AH14" i="10"/>
  <c r="AJ14" i="10"/>
  <c r="AI15" i="10"/>
  <c r="AH16" i="10"/>
  <c r="AJ16" i="10"/>
  <c r="AI17" i="10"/>
  <c r="AH18" i="10"/>
  <c r="AJ18" i="10"/>
  <c r="AI19" i="10"/>
  <c r="AH20" i="10"/>
  <c r="AJ20" i="10"/>
  <c r="AH21" i="10"/>
  <c r="AJ21" i="10"/>
  <c r="AI22" i="10"/>
  <c r="AJ23" i="10"/>
  <c r="AI24" i="10"/>
  <c r="AH25" i="10"/>
  <c r="AJ25" i="10"/>
  <c r="AI26" i="10"/>
  <c r="AH27" i="10"/>
  <c r="AJ27" i="10"/>
  <c r="AI28" i="10"/>
  <c r="AH29" i="10"/>
  <c r="AI29" i="10"/>
  <c r="AJ30" i="10"/>
  <c r="AH32" i="10"/>
  <c r="AI33" i="10"/>
  <c r="AI34" i="10"/>
  <c r="AI8" i="10"/>
  <c r="AJ9" i="10"/>
  <c r="AI10" i="10"/>
  <c r="AH11" i="10"/>
  <c r="AJ11" i="10"/>
  <c r="AI12" i="10"/>
  <c r="AH13" i="10"/>
  <c r="AJ13" i="10"/>
  <c r="AI14" i="10"/>
  <c r="AH15" i="10"/>
  <c r="AJ15" i="10"/>
  <c r="AJ24" i="10"/>
  <c r="AI25" i="10"/>
  <c r="AJ26" i="10"/>
  <c r="AH28" i="10"/>
  <c r="AJ29" i="10"/>
  <c r="AH31" i="10"/>
  <c r="AI32" i="10"/>
  <c r="AJ33" i="10"/>
  <c r="AI16" i="10"/>
  <c r="AH17" i="10"/>
  <c r="AJ17" i="10"/>
  <c r="AI18" i="10"/>
  <c r="AH19" i="10"/>
  <c r="AJ19" i="10"/>
  <c r="AI20" i="10"/>
  <c r="AI21" i="10"/>
  <c r="AH22" i="10"/>
  <c r="AJ22" i="10"/>
  <c r="A36" i="10"/>
  <c r="AJ34" i="10"/>
  <c r="AH8" i="10"/>
  <c r="AH7" i="10"/>
  <c r="AJ5" i="10"/>
  <c r="AJ8" i="10"/>
  <c r="AI5" i="10"/>
  <c r="AJ7" i="10"/>
  <c r="AH5" i="10"/>
  <c r="AI7" i="10"/>
  <c r="AI6" i="10"/>
  <c r="AH9" i="10"/>
  <c r="AH23" i="10"/>
  <c r="AH30" i="10"/>
  <c r="AI31" i="10"/>
  <c r="AJ32" i="10"/>
  <c r="AH34" i="10"/>
  <c r="AH24" i="10"/>
  <c r="AH26" i="10"/>
  <c r="AI27" i="10"/>
  <c r="AJ28" i="10"/>
  <c r="AI30" i="10"/>
  <c r="AJ31" i="10"/>
  <c r="AH33" i="10"/>
  <c r="AH6" i="10"/>
  <c r="I5" i="2" l="1"/>
  <c r="G5" i="2"/>
  <c r="H5" i="2" s="1"/>
  <c r="I6" i="2"/>
  <c r="J5" i="2"/>
  <c r="J6" i="2"/>
  <c r="G6" i="2"/>
  <c r="H6" i="2" s="1"/>
</calcChain>
</file>

<file path=xl/sharedStrings.xml><?xml version="1.0" encoding="utf-8"?>
<sst xmlns="http://schemas.openxmlformats.org/spreadsheetml/2006/main" count="184" uniqueCount="105">
  <si>
    <t>Urlaubsplaner</t>
  </si>
  <si>
    <t>für Teams bis 30 Personen · Feiertage automatisch · Vorlage von SEMINARON</t>
  </si>
  <si>
    <t>Jahr</t>
  </si>
  <si>
    <t>← Jahr eintragen, die Monatsblätter passen sich an</t>
  </si>
  <si>
    <t>Bundesland</t>
  </si>
  <si>
    <t>Nordrhein-Westfalen</t>
  </si>
  <si>
    <t>← Bundesland auswählen, die Feiertage passen sich an</t>
  </si>
  <si>
    <t>Firma oder Team (optional)</t>
  </si>
  <si>
    <t>Kürzel für die Eintragung</t>
  </si>
  <si>
    <t>U</t>
  </si>
  <si>
    <t>Urlaub, ganzer Tag</t>
  </si>
  <si>
    <t>H</t>
  </si>
  <si>
    <t>Urlaub, halber Tag</t>
  </si>
  <si>
    <t>K</t>
  </si>
  <si>
    <t>krank</t>
  </si>
  <si>
    <t>S</t>
  </si>
  <si>
    <t>Seminar oder Fortbildung</t>
  </si>
  <si>
    <t>Z</t>
  </si>
  <si>
    <t>Zeitausgleich</t>
  </si>
  <si>
    <t>F</t>
  </si>
  <si>
    <t>Sonderurlaub oder frei</t>
  </si>
  <si>
    <t>So geht es</t>
  </si>
  <si>
    <t>1. Oben Jahr und Bundesland wählen.</t>
  </si>
  <si>
    <t>2. Im Blatt „Mitarbeitende“ Namen, Arbeitstage pro Woche und Urlaubsanspruch eintragen.</t>
  </si>
  <si>
    <t>3. In den Monatsblättern die Kürzel in die Tage schreiben oder aus der Liste wählen.</t>
  </si>
  <si>
    <t>Bei Teilzeit: U nur an den Tagen eintragen, an denen die Person sonst arbeitet.</t>
  </si>
  <si>
    <t>4. Resturlaub, Krankheits- und Seminartage stehen automatisch im Blatt „Mitarbeitende“.</t>
  </si>
  <si>
    <t>Wochenenden sind grau, Feiertage rot hinterlegt. Urlaub an diesen Tagen wird nicht mitgezählt.</t>
  </si>
  <si>
    <t>Heiligabend und Silvester sind keine gesetzlichen Feiertage.</t>
  </si>
  <si>
    <t>Wenn bei Ihnen frei ist: im Blatt „Feiertage“ in der Spalte „Bei uns frei“ eine 1 eintragen.</t>
  </si>
  <si>
    <t>Mehr von SEMINARON</t>
  </si>
  <si>
    <t>Mehr als 30 Personen im Team? Die Version für bis zu 100 Personen schicken wir Ihnen kostenlos per E-Mail.</t>
  </si>
  <si>
    <t>→ seminaron.de/go/up27-100</t>
  </si>
  <si>
    <t>Excel für die Personalabteilung: Seminar live online oder als Firmenschulung für Ihr Team.</t>
  </si>
  <si>
    <t>→ seminaron.de/go/up27-kurs</t>
  </si>
  <si>
    <t>Erläuterungen, Feiertage und Brückentage: seminaron.de/urlaubsplaner-excel-vorlage</t>
  </si>
  <si>
    <t>Vorlage von SEMINARON (seminaron.de). Frei verwendbar und veränderbar. Ohne Gewähr, keine Rechtsberatung.</t>
  </si>
  <si>
    <t>Gelbe Felder ausfüllen, der Rest rechnet sich selbst.</t>
  </si>
  <si>
    <t>Name</t>
  </si>
  <si>
    <t>Abteilung</t>
  </si>
  <si>
    <t>Arbeitstage pro Woche</t>
  </si>
  <si>
    <t>Urlaubsanspruch (Tage)</t>
  </si>
  <si>
    <t>Resturlaub Vorjahr</t>
  </si>
  <si>
    <t>Anspruch gesamt</t>
  </si>
  <si>
    <t>Urlaub genommen</t>
  </si>
  <si>
    <t>Urlaub verbleibend</t>
  </si>
  <si>
    <t>Krankheitstage</t>
  </si>
  <si>
    <t>Seminartage</t>
  </si>
  <si>
    <t>Beispiel: Anna Muster</t>
  </si>
  <si>
    <t>Vertrieb</t>
  </si>
  <si>
    <t>Beispiel: Ben Beispiel</t>
  </si>
  <si>
    <t>Buchhaltung</t>
  </si>
  <si>
    <t>Teilzeit: Der Urlaubsanspruch wird anteilig berechnet, zum Beispiel 30 Tage × 4 Arbeitstage ÷ 5 = 24 Tage.</t>
  </si>
  <si>
    <t>In den Monatsblättern U nur an den Tagen eintragen, an denen die Person sonst arbeitet. Die Spalte „Arbeitstage pro Woche“ dient nur zur Information.</t>
  </si>
  <si>
    <t>Mehr als 30 Personen? Die Version für bis zu 100 Personen schicken wir Ihnen kostenlos per E-Mail: seminaron.de/go/up27-100</t>
  </si>
  <si>
    <t>Arbeitstag</t>
  </si>
  <si>
    <t>Urlaub</t>
  </si>
  <si>
    <t>Krank</t>
  </si>
  <si>
    <t>Seminar</t>
  </si>
  <si>
    <t>U Urlaub · H halber Tag · K krank · S Seminar · Z Zeitausgleich · F frei</t>
  </si>
  <si>
    <t>Feiertage</t>
  </si>
  <si>
    <t>Ostersonntag</t>
  </si>
  <si>
    <t>Feiertag</t>
  </si>
  <si>
    <t>Datum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</si>
  <si>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</si>
  <si>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</si>
  <si>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</si>
  <si>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</si>
  <si>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</si>
  <si>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</si>
  <si>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</si>
  <si>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</si>
  <si>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</si>
  <si>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Rheinland-Pfalz</t>
  </si>
  <si>
    <t>Saarland</t>
  </si>
  <si>
    <t>Sachsen</t>
  </si>
  <si>
    <t>Sachsen-Anhalt</t>
  </si>
  <si>
    <t>Schleswig-Holstein</t>
  </si>
  <si>
    <t>Thüringen</t>
  </si>
  <si>
    <t>Bei uns frei</t>
  </si>
  <si>
    <t>Gilt bei Ihnen</t>
  </si>
  <si>
    <t>Hinweis</t>
  </si>
  <si>
    <t>Neujahr</t>
  </si>
  <si>
    <t>Heilige Drei Könige</t>
  </si>
  <si>
    <t>Internationaler Frauentag</t>
  </si>
  <si>
    <t>Karfreitag</t>
  </si>
  <si>
    <t>Ostermontag</t>
  </si>
  <si>
    <t>Tag der Arbeit</t>
  </si>
  <si>
    <t>Christi Himmelfahrt</t>
  </si>
  <si>
    <t>Pfingstmontag</t>
  </si>
  <si>
    <t>Fronleichnam</t>
  </si>
  <si>
    <t>in Teilen von Sachsen und Thüringen ebenfalls</t>
  </si>
  <si>
    <t>Mariä Himmelfahrt</t>
  </si>
  <si>
    <t>Bayern: nur Gemeinden mit überwiegend katholischer Bevölkerung</t>
  </si>
  <si>
    <t>Weltkindertag</t>
  </si>
  <si>
    <t>Tag der Deutschen Einheit</t>
  </si>
  <si>
    <t>Reformationstag</t>
  </si>
  <si>
    <t>Allerheiligen</t>
  </si>
  <si>
    <t>Buß- und Bettag</t>
  </si>
  <si>
    <t>1. Weihnachtstag</t>
  </si>
  <si>
    <t>2. Weihnachtstag</t>
  </si>
  <si>
    <t>Heiligabend (betrieblich)</t>
  </si>
  <si>
    <t>kein gesetzlicher Feiertag: in Spalte "Bei uns frei" auf 1 setzen, wenn bei Ihnen frei</t>
  </si>
  <si>
    <t>Silvester (betrieblich)</t>
  </si>
  <si>
    <t>Die Zahlen 1 und 0 zeigen, in welchem Land der Tag ein gesetzlicher Feiertag ist. Sie können sie für betriebliche Regelungen anpassen.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</si>
</sst>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m\.yyyy"/>
    <numFmt numFmtId="165" formatCode="0.0;\-0.0;0"/>
    <numFmt numFmtId="166" formatCode="d"/>
    <numFmt numFmtId="167" formatCode="ddd"/>
    <numFmt numFmtId="168" formatCode="0.0;\-0.0;&quot;&quot;"/>
  </numFmts>
  <fonts count="31" x14ac:knownFonts="1">
    <font>
      <sz val="11"/>
      <color theme="1"/>
      <name val="Calibri"/>
      <family val="2"/>
      <scheme val="minor"/>
    </font>
    <font>
      <b/>
      <sz val="24"/>
      <color rgb="FF1F2023"/>
      <name val="Calibri"/>
    </font>
    <font>
      <sz val="11"/>
      <color rgb="FF686E70"/>
      <name val="Calibri"/>
    </font>
    <font>
      <b/>
      <sz val="12"/>
      <color rgb="FF1F2023"/>
      <name val="Calibri"/>
    </font>
    <font>
      <b/>
      <sz val="12"/>
      <color rgb="FFB83F50"/>
      <name val="Calibri"/>
    </font>
    <font>
      <i/>
      <sz val="10"/>
      <color rgb="FF686E70"/>
      <name val="Calibri"/>
    </font>
    <font>
      <b/>
      <sz val="13"/>
      <color rgb="FFDE5E64"/>
      <name val="Calibri"/>
    </font>
    <font>
      <b/>
      <sz val="12"/>
      <color rgb="FF1B5E3A"/>
      <name val="Calibri"/>
    </font>
    <font>
      <sz val="11"/>
      <color rgb="FF1F2023"/>
      <name val="Calibri"/>
    </font>
    <font>
      <b/>
      <sz val="12"/>
      <color rgb="FF8A4B0F"/>
      <name val="Calibri"/>
    </font>
    <font>
      <b/>
      <sz val="12"/>
      <color rgb="FF1D4E89"/>
      <name val="Calibri"/>
    </font>
    <font>
      <b/>
      <sz val="12"/>
      <color rgb="FF4B2A86"/>
      <name val="Calibri"/>
    </font>
    <font>
      <b/>
      <sz val="12"/>
      <color rgb="FF0B5C63"/>
      <name val="Calibri"/>
    </font>
    <font>
      <i/>
      <sz val="11"/>
      <color rgb="FF1F2023"/>
      <name val="Calibri"/>
    </font>
    <font>
      <u/>
      <sz val="11"/>
      <color rgb="FFDE5E64"/>
      <name val="Calibri"/>
    </font>
    <font>
      <u/>
      <sz val="10"/>
      <color rgb="FF686E70"/>
      <name val="Calibri"/>
    </font>
    <font>
      <sz val="9"/>
      <color rgb="FF686E70"/>
      <name val="Calibri"/>
    </font>
    <font>
      <b/>
      <sz val="18"/>
      <color rgb="FF1F2023"/>
      <name val="Calibri"/>
    </font>
    <font>
      <sz val="10"/>
      <color rgb="FF686E70"/>
      <name val="Calibri"/>
    </font>
    <font>
      <b/>
      <sz val="9"/>
      <color rgb="FF1F2023"/>
      <name val="Calibri"/>
    </font>
    <font>
      <sz val="10"/>
      <color rgb="FF1F2023"/>
      <name val="Calibri"/>
    </font>
    <font>
      <i/>
      <sz val="9"/>
      <color rgb="FF686E70"/>
      <name val="Calibri"/>
    </font>
    <font>
      <sz val="10"/>
      <color rgb="FFBBBBBB"/>
      <name val="Calibri"/>
    </font>
    <font>
      <b/>
      <sz val="10"/>
      <color rgb="FFFFFFFF"/>
      <name val="Calibri"/>
    </font>
    <font>
      <b/>
      <sz val="10"/>
      <color rgb="FF1F2023"/>
      <name val="Calibri"/>
    </font>
    <font>
      <b/>
      <u/>
      <sz val="10"/>
      <color rgb="FFDE5E64"/>
      <name val="Calibri"/>
    </font>
    <font>
      <sz val="8"/>
      <color rgb="FFBBBBBB"/>
      <name val="Calibri"/>
    </font>
    <font>
      <sz val="9"/>
      <color rgb="FFFFFFFF"/>
      <name val="Calibri"/>
    </font>
    <font>
      <sz val="7"/>
      <color rgb="FFDDDDDD"/>
      <name val="Calibri"/>
    </font>
    <font>
      <b/>
      <sz val="9"/>
      <color rgb="FFFFFFFF"/>
      <name val="Calibri"/>
    </font>
    <font>
      <b/>
      <sz val="10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FFF6D6"/>
        <bgColor rgb="FFFFF6D6"/>
      </patternFill>
    </fill>
    <fill>
      <patternFill patternType="solid">
        <fgColor rgb="FFB7E4C7"/>
        <bgColor rgb="FFB7E4C7"/>
      </patternFill>
    </fill>
    <fill>
      <patternFill patternType="solid">
        <fgColor rgb="FFDCF2E3"/>
        <bgColor rgb="FFDCF2E3"/>
      </patternFill>
    </fill>
    <fill>
      <patternFill patternType="solid">
        <fgColor rgb="FFFBD3B0"/>
        <bgColor rgb="FFFBD3B0"/>
      </patternFill>
    </fill>
    <fill>
      <patternFill patternType="solid">
        <fgColor rgb="FFC9DDF7"/>
        <bgColor rgb="FFC9DDF7"/>
      </patternFill>
    </fill>
    <fill>
      <patternFill patternType="solid">
        <fgColor rgb="FFE3D7F5"/>
        <bgColor rgb="FFE3D7F5"/>
      </patternFill>
    </fill>
    <fill>
      <patternFill patternType="solid">
        <fgColor rgb="FFC8EEF0"/>
        <bgColor rgb="FFC8EEF0"/>
      </patternFill>
    </fill>
    <fill>
      <patternFill patternType="solid">
        <fgColor rgb="FFFDF4F4"/>
        <bgColor rgb="FFFDF4F4"/>
      </patternFill>
    </fill>
    <fill>
      <patternFill patternType="solid">
        <fgColor rgb="FFB83F50"/>
        <bgColor rgb="FFB83F50"/>
      </patternFill>
    </fill>
    <fill>
      <patternFill patternType="solid">
        <fgColor rgb="FFDE5E64"/>
        <bgColor rgb="FFDE5E64"/>
      </patternFill>
    </fill>
  </fills>
  <borders count="2">
    <border>
      <left/>
      <right/>
      <top/>
      <bottom/>
      <diagonal/>
    </border>
    <border>
      <left style="thin">
        <color rgb="FFE5E1E1"/>
      </left>
      <right style="thin">
        <color rgb="FFE5E1E1"/>
      </right>
      <top style="thin">
        <color rgb="FFE5E1E1"/>
      </top>
      <bottom style="thin">
        <color rgb="FFE5E1E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left"/>
    </xf>
    <xf numFmtId="0" fontId="5" fillId="0" borderId="0" xfId="0" applyFont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0" fontId="8" fillId="0" borderId="0" xfId="0" applyFont="1"/>
    <xf numFmtId="0" fontId="7" fillId="4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/>
    </xf>
    <xf numFmtId="0" fontId="13" fillId="0" borderId="0" xfId="0" applyFont="1" applyAlignment="1">
      <alignment indent="2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23" fillId="10" borderId="1" xfId="0" applyFont="1" applyFill="1" applyBorder="1" applyAlignment="1">
      <alignment horizontal="center" vertical="center" wrapText="1"/>
    </xf>
    <xf numFmtId="0" fontId="20" fillId="2" borderId="1" xfId="0" applyFont="1" applyFill="1" applyBorder="1"/>
    <xf numFmtId="165" fontId="20" fillId="2" borderId="1" xfId="0" applyNumberFormat="1" applyFont="1" applyFill="1" applyBorder="1" applyAlignment="1">
      <alignment horizontal="center"/>
    </xf>
    <xf numFmtId="165" fontId="20" fillId="0" borderId="1" xfId="0" applyNumberFormat="1" applyFont="1" applyBorder="1" applyAlignment="1">
      <alignment horizontal="center"/>
    </xf>
    <xf numFmtId="165" fontId="24" fillId="0" borderId="1" xfId="0" applyNumberFormat="1" applyFont="1" applyBorder="1" applyAlignment="1">
      <alignment horizontal="center"/>
    </xf>
    <xf numFmtId="0" fontId="21" fillId="0" borderId="0" xfId="0" applyFont="1"/>
    <xf numFmtId="0" fontId="25" fillId="0" borderId="0" xfId="0" applyFont="1"/>
    <xf numFmtId="0" fontId="26" fillId="0" borderId="0" xfId="0" applyFont="1"/>
    <xf numFmtId="0" fontId="28" fillId="0" borderId="0" xfId="0" applyFont="1" applyAlignment="1">
      <alignment horizontal="center"/>
    </xf>
    <xf numFmtId="166" fontId="24" fillId="0" borderId="0" xfId="0" applyNumberFormat="1" applyFont="1" applyAlignment="1">
      <alignment horizontal="center"/>
    </xf>
    <xf numFmtId="0" fontId="23" fillId="10" borderId="0" xfId="0" applyFont="1" applyFill="1"/>
    <xf numFmtId="167" fontId="27" fillId="10" borderId="0" xfId="0" applyNumberFormat="1" applyFont="1" applyFill="1" applyAlignment="1">
      <alignment horizontal="center"/>
    </xf>
    <xf numFmtId="0" fontId="29" fillId="11" borderId="0" xfId="0" applyFont="1" applyFill="1" applyAlignment="1">
      <alignment horizontal="center"/>
    </xf>
    <xf numFmtId="0" fontId="20" fillId="0" borderId="1" xfId="0" applyFont="1" applyBorder="1"/>
    <xf numFmtId="0" fontId="30" fillId="0" borderId="1" xfId="0" applyFont="1" applyBorder="1" applyAlignment="1">
      <alignment horizontal="center"/>
    </xf>
    <xf numFmtId="168" fontId="24" fillId="0" borderId="1" xfId="0" applyNumberFormat="1" applyFont="1" applyBorder="1" applyAlignment="1">
      <alignment horizontal="center"/>
    </xf>
    <xf numFmtId="168" fontId="20" fillId="0" borderId="1" xfId="0" applyNumberFormat="1" applyFont="1" applyBorder="1" applyAlignment="1">
      <alignment horizontal="center"/>
    </xf>
    <xf numFmtId="0" fontId="18" fillId="0" borderId="0" xfId="0" applyFont="1"/>
    <xf numFmtId="164" fontId="0" fillId="0" borderId="0" xfId="0" applyNumberFormat="1"/>
    <xf numFmtId="0" fontId="19" fillId="9" borderId="1" xfId="0" applyFont="1" applyFill="1" applyBorder="1" applyAlignment="1">
      <alignment horizontal="center" wrapText="1"/>
    </xf>
    <xf numFmtId="0" fontId="19" fillId="9" borderId="1" xfId="0" applyFont="1" applyFill="1" applyBorder="1" applyAlignment="1">
      <alignment horizontal="center" textRotation="90" wrapText="1"/>
    </xf>
    <xf numFmtId="164" fontId="0" fillId="0" borderId="1" xfId="0" applyNumberFormat="1" applyBorder="1"/>
    <xf numFmtId="0" fontId="2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1" fillId="0" borderId="1" xfId="0" applyFont="1" applyBorder="1"/>
    <xf numFmtId="0" fontId="22" fillId="0" borderId="1" xfId="0" applyFont="1" applyBorder="1" applyAlignment="1">
      <alignment horizontal="center"/>
    </xf>
  </cellXfs>
  <cellStyles count="1">
    <cellStyle name="Standard" xfId="0" builtinId="0"/>
  </cellStyles>
  <dxfs count="110">
    <dxf>
      <font>
        <b/>
        <color rgb="FF8A1F2B"/>
      </font>
      <fill>
        <patternFill patternType="solid">
          <fgColor rgb="FFF8D7DA"/>
          <bgColor rgb="FFF8D7DA"/>
        </patternFill>
      </fill>
    </dxf>
    <dxf>
      <font>
        <b/>
        <color rgb="FF0B5C63"/>
      </font>
      <fill>
        <patternFill patternType="solid">
          <fgColor rgb="FFC8EEF0"/>
          <bgColor rgb="FFC8EEF0"/>
        </patternFill>
      </fill>
    </dxf>
    <dxf>
      <font>
        <b/>
        <color rgb="FF4B2A86"/>
      </font>
      <fill>
        <patternFill patternType="solid">
          <fgColor rgb="FFE3D7F5"/>
          <bgColor rgb="FFE3D7F5"/>
        </patternFill>
      </fill>
    </dxf>
    <dxf>
      <font>
        <b/>
        <color rgb="FF1D4E89"/>
      </font>
      <fill>
        <patternFill patternType="solid">
          <fgColor rgb="FFC9DDF7"/>
          <bgColor rgb="FFC9DDF7"/>
        </patternFill>
      </fill>
    </dxf>
    <dxf>
      <font>
        <b/>
        <color rgb="FF8A4B0F"/>
      </font>
      <fill>
        <patternFill patternType="solid">
          <fgColor rgb="FFFBD3B0"/>
          <bgColor rgb="FFFBD3B0"/>
        </patternFill>
      </fill>
    </dxf>
    <dxf>
      <font>
        <b/>
        <color rgb="FF1B5E3A"/>
      </font>
      <fill>
        <patternFill patternType="solid">
          <fgColor rgb="FFDCF2E3"/>
          <bgColor rgb="FFDCF2E3"/>
        </patternFill>
      </fill>
    </dxf>
    <dxf>
      <font>
        <b/>
        <color rgb="FF1B5E3A"/>
      </font>
      <fill>
        <patternFill patternType="solid">
          <fgColor rgb="FFB7E4C7"/>
          <bgColor rgb="FFB7E4C7"/>
        </patternFill>
      </fill>
    </dxf>
    <dxf>
      <fill>
        <patternFill patternType="solid">
          <fgColor rgb="FFE9E7E7"/>
          <bgColor rgb="FFE9E7E7"/>
        </patternFill>
      </fill>
    </dxf>
    <dxf>
      <fill>
        <patternFill patternType="solid">
          <fgColor rgb="FFF8D7DA"/>
          <bgColor rgb="FFF8D7DA"/>
        </patternFill>
      </fill>
    </dxf>
    <dxf>
      <fill>
        <patternFill patternType="solid">
          <fgColor rgb="FFF2F2F2"/>
          <bgColor rgb="FFF2F2F2"/>
        </patternFill>
      </fill>
    </dxf>
    <dxf>
      <font>
        <b/>
        <color rgb="FF0B5C63"/>
      </font>
      <fill>
        <patternFill patternType="solid">
          <fgColor rgb="FFC8EEF0"/>
          <bgColor rgb="FFC8EEF0"/>
        </patternFill>
      </fill>
    </dxf>
    <dxf>
      <font>
        <b/>
        <color rgb="FF4B2A86"/>
      </font>
      <fill>
        <patternFill patternType="solid">
          <fgColor rgb="FFE3D7F5"/>
          <bgColor rgb="FFE3D7F5"/>
        </patternFill>
      </fill>
    </dxf>
    <dxf>
      <font>
        <b/>
        <color rgb="FF1D4E89"/>
      </font>
      <fill>
        <patternFill patternType="solid">
          <fgColor rgb="FFC9DDF7"/>
          <bgColor rgb="FFC9DDF7"/>
        </patternFill>
      </fill>
    </dxf>
    <dxf>
      <font>
        <b/>
        <color rgb="FF8A4B0F"/>
      </font>
      <fill>
        <patternFill patternType="solid">
          <fgColor rgb="FFFBD3B0"/>
          <bgColor rgb="FFFBD3B0"/>
        </patternFill>
      </fill>
    </dxf>
    <dxf>
      <font>
        <b/>
        <color rgb="FF1B5E3A"/>
      </font>
      <fill>
        <patternFill patternType="solid">
          <fgColor rgb="FFDCF2E3"/>
          <bgColor rgb="FFDCF2E3"/>
        </patternFill>
      </fill>
    </dxf>
    <dxf>
      <font>
        <b/>
        <color rgb="FF1B5E3A"/>
      </font>
      <fill>
        <patternFill patternType="solid">
          <fgColor rgb="FFB7E4C7"/>
          <bgColor rgb="FFB7E4C7"/>
        </patternFill>
      </fill>
    </dxf>
    <dxf>
      <fill>
        <patternFill patternType="solid">
          <fgColor rgb="FFE9E7E7"/>
          <bgColor rgb="FFE9E7E7"/>
        </patternFill>
      </fill>
    </dxf>
    <dxf>
      <fill>
        <patternFill patternType="solid">
          <fgColor rgb="FFF8D7DA"/>
          <bgColor rgb="FFF8D7DA"/>
        </patternFill>
      </fill>
    </dxf>
    <dxf>
      <fill>
        <patternFill patternType="solid">
          <fgColor rgb="FFF2F2F2"/>
          <bgColor rgb="FFF2F2F2"/>
        </patternFill>
      </fill>
    </dxf>
    <dxf>
      <font>
        <b/>
        <color rgb="FF0B5C63"/>
      </font>
      <fill>
        <patternFill patternType="solid">
          <fgColor rgb="FFC8EEF0"/>
          <bgColor rgb="FFC8EEF0"/>
        </patternFill>
      </fill>
    </dxf>
    <dxf>
      <font>
        <b/>
        <color rgb="FF4B2A86"/>
      </font>
      <fill>
        <patternFill patternType="solid">
          <fgColor rgb="FFE3D7F5"/>
          <bgColor rgb="FFE3D7F5"/>
        </patternFill>
      </fill>
    </dxf>
    <dxf>
      <font>
        <b/>
        <color rgb="FF1D4E89"/>
      </font>
      <fill>
        <patternFill patternType="solid">
          <fgColor rgb="FFC9DDF7"/>
          <bgColor rgb="FFC9DDF7"/>
        </patternFill>
      </fill>
    </dxf>
    <dxf>
      <font>
        <b/>
        <color rgb="FF8A4B0F"/>
      </font>
      <fill>
        <patternFill patternType="solid">
          <fgColor rgb="FFFBD3B0"/>
          <bgColor rgb="FFFBD3B0"/>
        </patternFill>
      </fill>
    </dxf>
    <dxf>
      <font>
        <b/>
        <color rgb="FF1B5E3A"/>
      </font>
      <fill>
        <patternFill patternType="solid">
          <fgColor rgb="FFDCF2E3"/>
          <bgColor rgb="FFDCF2E3"/>
        </patternFill>
      </fill>
    </dxf>
    <dxf>
      <font>
        <b/>
        <color rgb="FF1B5E3A"/>
      </font>
      <fill>
        <patternFill patternType="solid">
          <fgColor rgb="FFB7E4C7"/>
          <bgColor rgb="FFB7E4C7"/>
        </patternFill>
      </fill>
    </dxf>
    <dxf>
      <fill>
        <patternFill patternType="solid">
          <fgColor rgb="FFE9E7E7"/>
          <bgColor rgb="FFE9E7E7"/>
        </patternFill>
      </fill>
    </dxf>
    <dxf>
      <fill>
        <patternFill patternType="solid">
          <fgColor rgb="FFF8D7DA"/>
          <bgColor rgb="FFF8D7DA"/>
        </patternFill>
      </fill>
    </dxf>
    <dxf>
      <fill>
        <patternFill patternType="solid">
          <fgColor rgb="FFF2F2F2"/>
          <bgColor rgb="FFF2F2F2"/>
        </patternFill>
      </fill>
    </dxf>
    <dxf>
      <font>
        <b/>
        <color rgb="FF0B5C63"/>
      </font>
      <fill>
        <patternFill patternType="solid">
          <fgColor rgb="FFC8EEF0"/>
          <bgColor rgb="FFC8EEF0"/>
        </patternFill>
      </fill>
    </dxf>
    <dxf>
      <font>
        <b/>
        <color rgb="FF4B2A86"/>
      </font>
      <fill>
        <patternFill patternType="solid">
          <fgColor rgb="FFE3D7F5"/>
          <bgColor rgb="FFE3D7F5"/>
        </patternFill>
      </fill>
    </dxf>
    <dxf>
      <font>
        <b/>
        <color rgb="FF1D4E89"/>
      </font>
      <fill>
        <patternFill patternType="solid">
          <fgColor rgb="FFC9DDF7"/>
          <bgColor rgb="FFC9DDF7"/>
        </patternFill>
      </fill>
    </dxf>
    <dxf>
      <font>
        <b/>
        <color rgb="FF8A4B0F"/>
      </font>
      <fill>
        <patternFill patternType="solid">
          <fgColor rgb="FFFBD3B0"/>
          <bgColor rgb="FFFBD3B0"/>
        </patternFill>
      </fill>
    </dxf>
    <dxf>
      <font>
        <b/>
        <color rgb="FF1B5E3A"/>
      </font>
      <fill>
        <patternFill patternType="solid">
          <fgColor rgb="FFDCF2E3"/>
          <bgColor rgb="FFDCF2E3"/>
        </patternFill>
      </fill>
    </dxf>
    <dxf>
      <font>
        <b/>
        <color rgb="FF1B5E3A"/>
      </font>
      <fill>
        <patternFill patternType="solid">
          <fgColor rgb="FFB7E4C7"/>
          <bgColor rgb="FFB7E4C7"/>
        </patternFill>
      </fill>
    </dxf>
    <dxf>
      <fill>
        <patternFill patternType="solid">
          <fgColor rgb="FFE9E7E7"/>
          <bgColor rgb="FFE9E7E7"/>
        </patternFill>
      </fill>
    </dxf>
    <dxf>
      <fill>
        <patternFill patternType="solid">
          <fgColor rgb="FFF8D7DA"/>
          <bgColor rgb="FFF8D7DA"/>
        </patternFill>
      </fill>
    </dxf>
    <dxf>
      <fill>
        <patternFill patternType="solid">
          <fgColor rgb="FFF2F2F2"/>
          <bgColor rgb="FFF2F2F2"/>
        </patternFill>
      </fill>
    </dxf>
    <dxf>
      <font>
        <b/>
        <color rgb="FF0B5C63"/>
      </font>
      <fill>
        <patternFill patternType="solid">
          <fgColor rgb="FFC8EEF0"/>
          <bgColor rgb="FFC8EEF0"/>
        </patternFill>
      </fill>
    </dxf>
    <dxf>
      <font>
        <b/>
        <color rgb="FF4B2A86"/>
      </font>
      <fill>
        <patternFill patternType="solid">
          <fgColor rgb="FFE3D7F5"/>
          <bgColor rgb="FFE3D7F5"/>
        </patternFill>
      </fill>
    </dxf>
    <dxf>
      <font>
        <b/>
        <color rgb="FF1D4E89"/>
      </font>
      <fill>
        <patternFill patternType="solid">
          <fgColor rgb="FFC9DDF7"/>
          <bgColor rgb="FFC9DDF7"/>
        </patternFill>
      </fill>
    </dxf>
    <dxf>
      <font>
        <b/>
        <color rgb="FF8A4B0F"/>
      </font>
      <fill>
        <patternFill patternType="solid">
          <fgColor rgb="FFFBD3B0"/>
          <bgColor rgb="FFFBD3B0"/>
        </patternFill>
      </fill>
    </dxf>
    <dxf>
      <font>
        <b/>
        <color rgb="FF1B5E3A"/>
      </font>
      <fill>
        <patternFill patternType="solid">
          <fgColor rgb="FFDCF2E3"/>
          <bgColor rgb="FFDCF2E3"/>
        </patternFill>
      </fill>
    </dxf>
    <dxf>
      <font>
        <b/>
        <color rgb="FF1B5E3A"/>
      </font>
      <fill>
        <patternFill patternType="solid">
          <fgColor rgb="FFB7E4C7"/>
          <bgColor rgb="FFB7E4C7"/>
        </patternFill>
      </fill>
    </dxf>
    <dxf>
      <fill>
        <patternFill patternType="solid">
          <fgColor rgb="FFE9E7E7"/>
          <bgColor rgb="FFE9E7E7"/>
        </patternFill>
      </fill>
    </dxf>
    <dxf>
      <fill>
        <patternFill patternType="solid">
          <fgColor rgb="FFF8D7DA"/>
          <bgColor rgb="FFF8D7DA"/>
        </patternFill>
      </fill>
    </dxf>
    <dxf>
      <fill>
        <patternFill patternType="solid">
          <fgColor rgb="FFF2F2F2"/>
          <bgColor rgb="FFF2F2F2"/>
        </patternFill>
      </fill>
    </dxf>
    <dxf>
      <font>
        <b/>
        <color rgb="FF0B5C63"/>
      </font>
      <fill>
        <patternFill patternType="solid">
          <fgColor rgb="FFC8EEF0"/>
          <bgColor rgb="FFC8EEF0"/>
        </patternFill>
      </fill>
    </dxf>
    <dxf>
      <font>
        <b/>
        <color rgb="FF4B2A86"/>
      </font>
      <fill>
        <patternFill patternType="solid">
          <fgColor rgb="FFE3D7F5"/>
          <bgColor rgb="FFE3D7F5"/>
        </patternFill>
      </fill>
    </dxf>
    <dxf>
      <font>
        <b/>
        <color rgb="FF1D4E89"/>
      </font>
      <fill>
        <patternFill patternType="solid">
          <fgColor rgb="FFC9DDF7"/>
          <bgColor rgb="FFC9DDF7"/>
        </patternFill>
      </fill>
    </dxf>
    <dxf>
      <font>
        <b/>
        <color rgb="FF8A4B0F"/>
      </font>
      <fill>
        <patternFill patternType="solid">
          <fgColor rgb="FFFBD3B0"/>
          <bgColor rgb="FFFBD3B0"/>
        </patternFill>
      </fill>
    </dxf>
    <dxf>
      <font>
        <b/>
        <color rgb="FF1B5E3A"/>
      </font>
      <fill>
        <patternFill patternType="solid">
          <fgColor rgb="FFDCF2E3"/>
          <bgColor rgb="FFDCF2E3"/>
        </patternFill>
      </fill>
    </dxf>
    <dxf>
      <font>
        <b/>
        <color rgb="FF1B5E3A"/>
      </font>
      <fill>
        <patternFill patternType="solid">
          <fgColor rgb="FFB7E4C7"/>
          <bgColor rgb="FFB7E4C7"/>
        </patternFill>
      </fill>
    </dxf>
    <dxf>
      <fill>
        <patternFill patternType="solid">
          <fgColor rgb="FFE9E7E7"/>
          <bgColor rgb="FFE9E7E7"/>
        </patternFill>
      </fill>
    </dxf>
    <dxf>
      <fill>
        <patternFill patternType="solid">
          <fgColor rgb="FFF8D7DA"/>
          <bgColor rgb="FFF8D7DA"/>
        </patternFill>
      </fill>
    </dxf>
    <dxf>
      <fill>
        <patternFill patternType="solid">
          <fgColor rgb="FFF2F2F2"/>
          <bgColor rgb="FFF2F2F2"/>
        </patternFill>
      </fill>
    </dxf>
    <dxf>
      <font>
        <b/>
        <color rgb="FF0B5C63"/>
      </font>
      <fill>
        <patternFill patternType="solid">
          <fgColor rgb="FFC8EEF0"/>
          <bgColor rgb="FFC8EEF0"/>
        </patternFill>
      </fill>
    </dxf>
    <dxf>
      <font>
        <b/>
        <color rgb="FF4B2A86"/>
      </font>
      <fill>
        <patternFill patternType="solid">
          <fgColor rgb="FFE3D7F5"/>
          <bgColor rgb="FFE3D7F5"/>
        </patternFill>
      </fill>
    </dxf>
    <dxf>
      <font>
        <b/>
        <color rgb="FF1D4E89"/>
      </font>
      <fill>
        <patternFill patternType="solid">
          <fgColor rgb="FFC9DDF7"/>
          <bgColor rgb="FFC9DDF7"/>
        </patternFill>
      </fill>
    </dxf>
    <dxf>
      <font>
        <b/>
        <color rgb="FF8A4B0F"/>
      </font>
      <fill>
        <patternFill patternType="solid">
          <fgColor rgb="FFFBD3B0"/>
          <bgColor rgb="FFFBD3B0"/>
        </patternFill>
      </fill>
    </dxf>
    <dxf>
      <font>
        <b/>
        <color rgb="FF1B5E3A"/>
      </font>
      <fill>
        <patternFill patternType="solid">
          <fgColor rgb="FFDCF2E3"/>
          <bgColor rgb="FFDCF2E3"/>
        </patternFill>
      </fill>
    </dxf>
    <dxf>
      <font>
        <b/>
        <color rgb="FF1B5E3A"/>
      </font>
      <fill>
        <patternFill patternType="solid">
          <fgColor rgb="FFB7E4C7"/>
          <bgColor rgb="FFB7E4C7"/>
        </patternFill>
      </fill>
    </dxf>
    <dxf>
      <fill>
        <patternFill patternType="solid">
          <fgColor rgb="FFE9E7E7"/>
          <bgColor rgb="FFE9E7E7"/>
        </patternFill>
      </fill>
    </dxf>
    <dxf>
      <fill>
        <patternFill patternType="solid">
          <fgColor rgb="FFF8D7DA"/>
          <bgColor rgb="FFF8D7DA"/>
        </patternFill>
      </fill>
    </dxf>
    <dxf>
      <fill>
        <patternFill patternType="solid">
          <fgColor rgb="FFF2F2F2"/>
          <bgColor rgb="FFF2F2F2"/>
        </patternFill>
      </fill>
    </dxf>
    <dxf>
      <font>
        <b/>
        <color rgb="FF0B5C63"/>
      </font>
      <fill>
        <patternFill patternType="solid">
          <fgColor rgb="FFC8EEF0"/>
          <bgColor rgb="FFC8EEF0"/>
        </patternFill>
      </fill>
    </dxf>
    <dxf>
      <font>
        <b/>
        <color rgb="FF4B2A86"/>
      </font>
      <fill>
        <patternFill patternType="solid">
          <fgColor rgb="FFE3D7F5"/>
          <bgColor rgb="FFE3D7F5"/>
        </patternFill>
      </fill>
    </dxf>
    <dxf>
      <font>
        <b/>
        <color rgb="FF1D4E89"/>
      </font>
      <fill>
        <patternFill patternType="solid">
          <fgColor rgb="FFC9DDF7"/>
          <bgColor rgb="FFC9DDF7"/>
        </patternFill>
      </fill>
    </dxf>
    <dxf>
      <font>
        <b/>
        <color rgb="FF8A4B0F"/>
      </font>
      <fill>
        <patternFill patternType="solid">
          <fgColor rgb="FFFBD3B0"/>
          <bgColor rgb="FFFBD3B0"/>
        </patternFill>
      </fill>
    </dxf>
    <dxf>
      <font>
        <b/>
        <color rgb="FF1B5E3A"/>
      </font>
      <fill>
        <patternFill patternType="solid">
          <fgColor rgb="FFDCF2E3"/>
          <bgColor rgb="FFDCF2E3"/>
        </patternFill>
      </fill>
    </dxf>
    <dxf>
      <font>
        <b/>
        <color rgb="FF1B5E3A"/>
      </font>
      <fill>
        <patternFill patternType="solid">
          <fgColor rgb="FFB7E4C7"/>
          <bgColor rgb="FFB7E4C7"/>
        </patternFill>
      </fill>
    </dxf>
    <dxf>
      <fill>
        <patternFill patternType="solid">
          <fgColor rgb="FFE9E7E7"/>
          <bgColor rgb="FFE9E7E7"/>
        </patternFill>
      </fill>
    </dxf>
    <dxf>
      <fill>
        <patternFill patternType="solid">
          <fgColor rgb="FFF8D7DA"/>
          <bgColor rgb="FFF8D7DA"/>
        </patternFill>
      </fill>
    </dxf>
    <dxf>
      <fill>
        <patternFill patternType="solid">
          <fgColor rgb="FFF2F2F2"/>
          <bgColor rgb="FFF2F2F2"/>
        </patternFill>
      </fill>
    </dxf>
    <dxf>
      <font>
        <b/>
        <color rgb="FF0B5C63"/>
      </font>
      <fill>
        <patternFill patternType="solid">
          <fgColor rgb="FFC8EEF0"/>
          <bgColor rgb="FFC8EEF0"/>
        </patternFill>
      </fill>
    </dxf>
    <dxf>
      <font>
        <b/>
        <color rgb="FF4B2A86"/>
      </font>
      <fill>
        <patternFill patternType="solid">
          <fgColor rgb="FFE3D7F5"/>
          <bgColor rgb="FFE3D7F5"/>
        </patternFill>
      </fill>
    </dxf>
    <dxf>
      <font>
        <b/>
        <color rgb="FF1D4E89"/>
      </font>
      <fill>
        <patternFill patternType="solid">
          <fgColor rgb="FFC9DDF7"/>
          <bgColor rgb="FFC9DDF7"/>
        </patternFill>
      </fill>
    </dxf>
    <dxf>
      <font>
        <b/>
        <color rgb="FF8A4B0F"/>
      </font>
      <fill>
        <patternFill patternType="solid">
          <fgColor rgb="FFFBD3B0"/>
          <bgColor rgb="FFFBD3B0"/>
        </patternFill>
      </fill>
    </dxf>
    <dxf>
      <font>
        <b/>
        <color rgb="FF1B5E3A"/>
      </font>
      <fill>
        <patternFill patternType="solid">
          <fgColor rgb="FFDCF2E3"/>
          <bgColor rgb="FFDCF2E3"/>
        </patternFill>
      </fill>
    </dxf>
    <dxf>
      <font>
        <b/>
        <color rgb="FF1B5E3A"/>
      </font>
      <fill>
        <patternFill patternType="solid">
          <fgColor rgb="FFB7E4C7"/>
          <bgColor rgb="FFB7E4C7"/>
        </patternFill>
      </fill>
    </dxf>
    <dxf>
      <fill>
        <patternFill patternType="solid">
          <fgColor rgb="FFE9E7E7"/>
          <bgColor rgb="FFE9E7E7"/>
        </patternFill>
      </fill>
    </dxf>
    <dxf>
      <fill>
        <patternFill patternType="solid">
          <fgColor rgb="FFF8D7DA"/>
          <bgColor rgb="FFF8D7DA"/>
        </patternFill>
      </fill>
    </dxf>
    <dxf>
      <fill>
        <patternFill patternType="solid">
          <fgColor rgb="FFF2F2F2"/>
          <bgColor rgb="FFF2F2F2"/>
        </patternFill>
      </fill>
    </dxf>
    <dxf>
      <font>
        <b/>
        <color rgb="FF0B5C63"/>
      </font>
      <fill>
        <patternFill patternType="solid">
          <fgColor rgb="FFC8EEF0"/>
          <bgColor rgb="FFC8EEF0"/>
        </patternFill>
      </fill>
    </dxf>
    <dxf>
      <font>
        <b/>
        <color rgb="FF4B2A86"/>
      </font>
      <fill>
        <patternFill patternType="solid">
          <fgColor rgb="FFE3D7F5"/>
          <bgColor rgb="FFE3D7F5"/>
        </patternFill>
      </fill>
    </dxf>
    <dxf>
      <font>
        <b/>
        <color rgb="FF1D4E89"/>
      </font>
      <fill>
        <patternFill patternType="solid">
          <fgColor rgb="FFC9DDF7"/>
          <bgColor rgb="FFC9DDF7"/>
        </patternFill>
      </fill>
    </dxf>
    <dxf>
      <font>
        <b/>
        <color rgb="FF8A4B0F"/>
      </font>
      <fill>
        <patternFill patternType="solid">
          <fgColor rgb="FFFBD3B0"/>
          <bgColor rgb="FFFBD3B0"/>
        </patternFill>
      </fill>
    </dxf>
    <dxf>
      <font>
        <b/>
        <color rgb="FF1B5E3A"/>
      </font>
      <fill>
        <patternFill patternType="solid">
          <fgColor rgb="FFDCF2E3"/>
          <bgColor rgb="FFDCF2E3"/>
        </patternFill>
      </fill>
    </dxf>
    <dxf>
      <font>
        <b/>
        <color rgb="FF1B5E3A"/>
      </font>
      <fill>
        <patternFill patternType="solid">
          <fgColor rgb="FFB7E4C7"/>
          <bgColor rgb="FFB7E4C7"/>
        </patternFill>
      </fill>
    </dxf>
    <dxf>
      <fill>
        <patternFill patternType="solid">
          <fgColor rgb="FFE9E7E7"/>
          <bgColor rgb="FFE9E7E7"/>
        </patternFill>
      </fill>
    </dxf>
    <dxf>
      <fill>
        <patternFill patternType="solid">
          <fgColor rgb="FFF8D7DA"/>
          <bgColor rgb="FFF8D7DA"/>
        </patternFill>
      </fill>
    </dxf>
    <dxf>
      <fill>
        <patternFill patternType="solid">
          <fgColor rgb="FFF2F2F2"/>
          <bgColor rgb="FFF2F2F2"/>
        </patternFill>
      </fill>
    </dxf>
    <dxf>
      <font>
        <b/>
        <color rgb="FF0B5C63"/>
      </font>
      <fill>
        <patternFill patternType="solid">
          <fgColor rgb="FFC8EEF0"/>
          <bgColor rgb="FFC8EEF0"/>
        </patternFill>
      </fill>
    </dxf>
    <dxf>
      <font>
        <b/>
        <color rgb="FF4B2A86"/>
      </font>
      <fill>
        <patternFill patternType="solid">
          <fgColor rgb="FFE3D7F5"/>
          <bgColor rgb="FFE3D7F5"/>
        </patternFill>
      </fill>
    </dxf>
    <dxf>
      <font>
        <b/>
        <color rgb="FF1D4E89"/>
      </font>
      <fill>
        <patternFill patternType="solid">
          <fgColor rgb="FFC9DDF7"/>
          <bgColor rgb="FFC9DDF7"/>
        </patternFill>
      </fill>
    </dxf>
    <dxf>
      <font>
        <b/>
        <color rgb="FF8A4B0F"/>
      </font>
      <fill>
        <patternFill patternType="solid">
          <fgColor rgb="FFFBD3B0"/>
          <bgColor rgb="FFFBD3B0"/>
        </patternFill>
      </fill>
    </dxf>
    <dxf>
      <font>
        <b/>
        <color rgb="FF1B5E3A"/>
      </font>
      <fill>
        <patternFill patternType="solid">
          <fgColor rgb="FFDCF2E3"/>
          <bgColor rgb="FFDCF2E3"/>
        </patternFill>
      </fill>
    </dxf>
    <dxf>
      <font>
        <b/>
        <color rgb="FF1B5E3A"/>
      </font>
      <fill>
        <patternFill patternType="solid">
          <fgColor rgb="FFB7E4C7"/>
          <bgColor rgb="FFB7E4C7"/>
        </patternFill>
      </fill>
    </dxf>
    <dxf>
      <fill>
        <patternFill patternType="solid">
          <fgColor rgb="FFE9E7E7"/>
          <bgColor rgb="FFE9E7E7"/>
        </patternFill>
      </fill>
    </dxf>
    <dxf>
      <fill>
        <patternFill patternType="solid">
          <fgColor rgb="FFF8D7DA"/>
          <bgColor rgb="FFF8D7DA"/>
        </patternFill>
      </fill>
    </dxf>
    <dxf>
      <fill>
        <patternFill patternType="solid">
          <fgColor rgb="FFF2F2F2"/>
          <bgColor rgb="FFF2F2F2"/>
        </patternFill>
      </fill>
    </dxf>
    <dxf>
      <font>
        <b/>
        <color rgb="FF0B5C63"/>
      </font>
      <fill>
        <patternFill patternType="solid">
          <fgColor rgb="FFC8EEF0"/>
          <bgColor rgb="FFC8EEF0"/>
        </patternFill>
      </fill>
    </dxf>
    <dxf>
      <font>
        <b/>
        <color rgb="FF4B2A86"/>
      </font>
      <fill>
        <patternFill patternType="solid">
          <fgColor rgb="FFE3D7F5"/>
          <bgColor rgb="FFE3D7F5"/>
        </patternFill>
      </fill>
    </dxf>
    <dxf>
      <font>
        <b/>
        <color rgb="FF1D4E89"/>
      </font>
      <fill>
        <patternFill patternType="solid">
          <fgColor rgb="FFC9DDF7"/>
          <bgColor rgb="FFC9DDF7"/>
        </patternFill>
      </fill>
    </dxf>
    <dxf>
      <font>
        <b/>
        <color rgb="FF8A4B0F"/>
      </font>
      <fill>
        <patternFill patternType="solid">
          <fgColor rgb="FFFBD3B0"/>
          <bgColor rgb="FFFBD3B0"/>
        </patternFill>
      </fill>
    </dxf>
    <dxf>
      <font>
        <b/>
        <color rgb="FF1B5E3A"/>
      </font>
      <fill>
        <patternFill patternType="solid">
          <fgColor rgb="FFDCF2E3"/>
          <bgColor rgb="FFDCF2E3"/>
        </patternFill>
      </fill>
    </dxf>
    <dxf>
      <font>
        <b/>
        <color rgb="FF1B5E3A"/>
      </font>
      <fill>
        <patternFill patternType="solid">
          <fgColor rgb="FFB7E4C7"/>
          <bgColor rgb="FFB7E4C7"/>
        </patternFill>
      </fill>
    </dxf>
    <dxf>
      <fill>
        <patternFill patternType="solid">
          <fgColor rgb="FFE9E7E7"/>
          <bgColor rgb="FFE9E7E7"/>
        </patternFill>
      </fill>
    </dxf>
    <dxf>
      <fill>
        <patternFill patternType="solid">
          <fgColor rgb="FFF8D7DA"/>
          <bgColor rgb="FFF8D7DA"/>
        </patternFill>
      </fill>
    </dxf>
    <dxf>
      <fill>
        <patternFill patternType="solid">
          <fgColor rgb="FFF2F2F2"/>
          <bgColor rgb="FFF2F2F2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minaron.de/go/up27-hilfe" TargetMode="External"/><Relationship Id="rId2" Type="http://schemas.openxmlformats.org/officeDocument/2006/relationships/hyperlink" Target="https://seminaron.de/go/up27-kurs" TargetMode="External"/><Relationship Id="rId1" Type="http://schemas.openxmlformats.org/officeDocument/2006/relationships/hyperlink" Target="https://seminaron.de/go/up27-10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seminaron.de/go/up27-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E5E64"/>
    <pageSetUpPr fitToPage="1"/>
  </sheetPr>
  <dimension ref="B2:D35"/>
  <sheetViews>
    <sheetView showGridLines="0" tabSelected="1" workbookViewId="0"/>
  </sheetViews>
  <sheetFormatPr baseColWidth="10" defaultColWidth="9.140625" defaultRowHeight="15" x14ac:dyDescent="0.25"/>
  <cols>
    <col min="1" max="1" width="3" customWidth="1"/>
    <col min="2" max="2" width="30" customWidth="1"/>
    <col min="3" max="3" width="34" customWidth="1"/>
    <col min="4" max="4" width="50" customWidth="1"/>
  </cols>
  <sheetData>
    <row r="2" spans="2:4" ht="31.5" x14ac:dyDescent="0.5">
      <c r="B2" s="1" t="s">
        <v>0</v>
      </c>
    </row>
    <row r="3" spans="2:4" x14ac:dyDescent="0.25">
      <c r="B3" s="2" t="s">
        <v>1</v>
      </c>
    </row>
    <row r="5" spans="2:4" ht="15.75" x14ac:dyDescent="0.25">
      <c r="B5" s="3" t="s">
        <v>2</v>
      </c>
      <c r="C5" s="4">
        <v>2027</v>
      </c>
      <c r="D5" s="5" t="s">
        <v>3</v>
      </c>
    </row>
    <row r="6" spans="2:4" ht="15.75" x14ac:dyDescent="0.25">
      <c r="B6" s="3" t="s">
        <v>4</v>
      </c>
      <c r="C6" s="4" t="s">
        <v>5</v>
      </c>
      <c r="D6" s="5" t="s">
        <v>6</v>
      </c>
    </row>
    <row r="7" spans="2:4" ht="15.75" x14ac:dyDescent="0.25">
      <c r="B7" s="3" t="s">
        <v>7</v>
      </c>
      <c r="C7" s="4"/>
      <c r="D7" s="5"/>
    </row>
    <row r="9" spans="2:4" ht="17.25" x14ac:dyDescent="0.3">
      <c r="B9" s="6" t="s">
        <v>8</v>
      </c>
    </row>
    <row r="10" spans="2:4" ht="15.75" x14ac:dyDescent="0.25">
      <c r="B10" s="7" t="s">
        <v>9</v>
      </c>
      <c r="C10" s="8" t="s">
        <v>10</v>
      </c>
    </row>
    <row r="11" spans="2:4" ht="15.75" x14ac:dyDescent="0.25">
      <c r="B11" s="9" t="s">
        <v>11</v>
      </c>
      <c r="C11" s="8" t="s">
        <v>12</v>
      </c>
    </row>
    <row r="12" spans="2:4" ht="15.75" x14ac:dyDescent="0.25">
      <c r="B12" s="10" t="s">
        <v>13</v>
      </c>
      <c r="C12" s="8" t="s">
        <v>14</v>
      </c>
    </row>
    <row r="13" spans="2:4" ht="15.75" x14ac:dyDescent="0.25">
      <c r="B13" s="11" t="s">
        <v>15</v>
      </c>
      <c r="C13" s="8" t="s">
        <v>16</v>
      </c>
    </row>
    <row r="14" spans="2:4" ht="15.75" x14ac:dyDescent="0.25">
      <c r="B14" s="12" t="s">
        <v>17</v>
      </c>
      <c r="C14" s="8" t="s">
        <v>18</v>
      </c>
    </row>
    <row r="15" spans="2:4" ht="15.75" x14ac:dyDescent="0.25">
      <c r="B15" s="13" t="s">
        <v>19</v>
      </c>
      <c r="C15" s="8" t="s">
        <v>20</v>
      </c>
    </row>
    <row r="17" spans="2:2" ht="17.25" x14ac:dyDescent="0.3">
      <c r="B17" s="6" t="s">
        <v>21</v>
      </c>
    </row>
    <row r="18" spans="2:2" x14ac:dyDescent="0.25">
      <c r="B18" s="8" t="s">
        <v>22</v>
      </c>
    </row>
    <row r="19" spans="2:2" x14ac:dyDescent="0.25">
      <c r="B19" s="8" t="s">
        <v>23</v>
      </c>
    </row>
    <row r="20" spans="2:2" x14ac:dyDescent="0.25">
      <c r="B20" s="8" t="s">
        <v>24</v>
      </c>
    </row>
    <row r="21" spans="2:2" x14ac:dyDescent="0.25">
      <c r="B21" s="14" t="s">
        <v>25</v>
      </c>
    </row>
    <row r="22" spans="2:2" x14ac:dyDescent="0.25">
      <c r="B22" s="8" t="s">
        <v>26</v>
      </c>
    </row>
    <row r="23" spans="2:2" x14ac:dyDescent="0.25">
      <c r="B23" s="8" t="s">
        <v>27</v>
      </c>
    </row>
    <row r="24" spans="2:2" x14ac:dyDescent="0.25">
      <c r="B24" s="8" t="s">
        <v>28</v>
      </c>
    </row>
    <row r="25" spans="2:2" x14ac:dyDescent="0.25">
      <c r="B25" s="8" t="s">
        <v>29</v>
      </c>
    </row>
    <row r="27" spans="2:2" ht="17.25" x14ac:dyDescent="0.3">
      <c r="B27" s="6" t="s">
        <v>30</v>
      </c>
    </row>
    <row r="28" spans="2:2" x14ac:dyDescent="0.25">
      <c r="B28" s="8" t="s">
        <v>31</v>
      </c>
    </row>
    <row r="29" spans="2:2" x14ac:dyDescent="0.25">
      <c r="B29" s="15" t="s">
        <v>32</v>
      </c>
    </row>
    <row r="31" spans="2:2" x14ac:dyDescent="0.25">
      <c r="B31" s="8" t="s">
        <v>33</v>
      </c>
    </row>
    <row r="32" spans="2:2" x14ac:dyDescent="0.25">
      <c r="B32" s="15" t="s">
        <v>34</v>
      </c>
    </row>
    <row r="34" spans="2:2" x14ac:dyDescent="0.25">
      <c r="B34" s="16" t="s">
        <v>35</v>
      </c>
    </row>
    <row r="35" spans="2:2" x14ac:dyDescent="0.25">
      <c r="B35" s="17" t="s">
        <v>36</v>
      </c>
    </row>
  </sheetData>
  <dataValidations count="1">
    <dataValidation type="whole" sqref="C5" xr:uid="{00000000-0002-0000-0000-000001000000}">
      <formula1>2024</formula1>
      <formula2>2040</formula2>
    </dataValidation>
  </dataValidations>
  <hyperlinks>
    <hyperlink ref="B29" r:id="rId1" xr:uid="{00000000-0004-0000-0000-000000000000}"/>
    <hyperlink ref="B32" r:id="rId2" xr:uid="{00000000-0004-0000-0000-000001000000}"/>
    <hyperlink ref="B34" r:id="rId3" xr:uid="{00000000-0004-0000-0000-000002000000}"/>
  </hyperlinks>
  <pageMargins left="0.75" right="0.75" top="1" bottom="1" header="0.5" footer="0.5"/>
  <pageSetup orientation="landscape"/>
  <headerFooter>
    <oddFooter>&amp;C&amp;8 &amp;K686E70Vorlage von seminaron.de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000-000000000000}">
          <x14:formula1>
            <xm:f>Feiertage!$C$4:$R$4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83F50"/>
    <pageSetUpPr fitToPage="1"/>
  </sheetPr>
  <dimension ref="A1:J38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6" customWidth="1"/>
    <col min="2" max="2" width="18" customWidth="1"/>
    <col min="3" max="3" width="12" customWidth="1"/>
    <col min="4" max="4" width="15.42578125" customWidth="1"/>
    <col min="5" max="7" width="12" customWidth="1"/>
    <col min="8" max="8" width="13" customWidth="1"/>
    <col min="9" max="9" width="13.42578125" customWidth="1"/>
    <col min="10" max="10" width="12" customWidth="1"/>
  </cols>
  <sheetData>
    <row r="1" spans="1:10" ht="23.25" x14ac:dyDescent="0.35">
      <c r="A1" s="18" t="str">
        <f>"Mitarbeitende und Urlaubskonto "&amp;Jahr</f>
        <v>Mitarbeitende und Urlaubskonto 2027</v>
      </c>
    </row>
    <row r="2" spans="1:10" x14ac:dyDescent="0.25">
      <c r="A2" s="5" t="s">
        <v>37</v>
      </c>
    </row>
    <row r="4" spans="1:10" ht="33.950000000000003" customHeight="1" x14ac:dyDescent="0.25">
      <c r="A4" s="19" t="s">
        <v>38</v>
      </c>
      <c r="B4" s="19" t="s">
        <v>39</v>
      </c>
      <c r="C4" s="19" t="s">
        <v>40</v>
      </c>
      <c r="D4" s="19" t="s">
        <v>41</v>
      </c>
      <c r="E4" s="19" t="s">
        <v>42</v>
      </c>
      <c r="F4" s="19" t="s">
        <v>43</v>
      </c>
      <c r="G4" s="19" t="s">
        <v>44</v>
      </c>
      <c r="H4" s="19" t="s">
        <v>45</v>
      </c>
      <c r="I4" s="19" t="s">
        <v>46</v>
      </c>
      <c r="J4" s="19" t="s">
        <v>47</v>
      </c>
    </row>
    <row r="5" spans="1:10" x14ac:dyDescent="0.25">
      <c r="A5" s="20" t="s">
        <v>48</v>
      </c>
      <c r="B5" s="20" t="s">
        <v>49</v>
      </c>
      <c r="C5" s="21">
        <v>5</v>
      </c>
      <c r="D5" s="21">
        <v>30</v>
      </c>
      <c r="E5" s="21">
        <v>2</v>
      </c>
      <c r="F5" s="22">
        <f t="shared" ref="F5:F34" si="0">IF(A5="","",D5+E5)</f>
        <v>32</v>
      </c>
      <c r="G5" s="22">
        <f>IF(A5="","",Jan!AH5+Feb!AH5+Mär!AH5+Apr!AH5+Mai!AH5+Jun!AH5+Jul!AH5+Aug!AH5+Sep!AH5+Okt!AH5+Nov!AH5+Dez!AH5)</f>
        <v>5</v>
      </c>
      <c r="H5" s="23">
        <f t="shared" ref="H5:H34" si="1">IF(A5="","",F5-G5)</f>
        <v>27</v>
      </c>
      <c r="I5" s="22">
        <f>IF(A5="","",Jan!AI5+Feb!AI5+Mär!AI5+Apr!AI5+Mai!AI5+Jun!AI5+Jul!AI5+Aug!AI5+Sep!AI5+Okt!AI5+Nov!AI5+Dez!AI5)</f>
        <v>1</v>
      </c>
      <c r="J5" s="22">
        <f>IF(A5="","",Jan!AJ5+Feb!AJ5+Mär!AJ5+Apr!AJ5+Mai!AJ5+Jun!AJ5+Jul!AJ5+Aug!AJ5+Sep!AJ5+Okt!AJ5+Nov!AJ5+Dez!AJ5)</f>
        <v>0</v>
      </c>
    </row>
    <row r="6" spans="1:10" x14ac:dyDescent="0.25">
      <c r="A6" s="20" t="s">
        <v>50</v>
      </c>
      <c r="B6" s="20" t="s">
        <v>51</v>
      </c>
      <c r="C6" s="21">
        <v>4</v>
      </c>
      <c r="D6" s="21">
        <v>24</v>
      </c>
      <c r="E6" s="21">
        <v>0</v>
      </c>
      <c r="F6" s="22">
        <f t="shared" si="0"/>
        <v>24</v>
      </c>
      <c r="G6" s="22">
        <f>IF(A6="","",Jan!AH6+Feb!AH6+Mär!AH6+Apr!AH6+Mai!AH6+Jun!AH6+Jul!AH6+Aug!AH6+Sep!AH6+Okt!AH6+Nov!AH6+Dez!AH6)</f>
        <v>0.5</v>
      </c>
      <c r="H6" s="23">
        <f t="shared" si="1"/>
        <v>23.5</v>
      </c>
      <c r="I6" s="22">
        <f>IF(A6="","",Jan!AI6+Feb!AI6+Mär!AI6+Apr!AI6+Mai!AI6+Jun!AI6+Jul!AI6+Aug!AI6+Sep!AI6+Okt!AI6+Nov!AI6+Dez!AI6)</f>
        <v>0</v>
      </c>
      <c r="J6" s="22">
        <f>IF(A6="","",Jan!AJ6+Feb!AJ6+Mär!AJ6+Apr!AJ6+Mai!AJ6+Jun!AJ6+Jul!AJ6+Aug!AJ6+Sep!AJ6+Okt!AJ6+Nov!AJ6+Dez!AJ6)</f>
        <v>2</v>
      </c>
    </row>
    <row r="7" spans="1:10" x14ac:dyDescent="0.25">
      <c r="A7" s="20"/>
      <c r="B7" s="20"/>
      <c r="C7" s="21">
        <v>5</v>
      </c>
      <c r="D7" s="21"/>
      <c r="E7" s="21"/>
      <c r="F7" s="22" t="str">
        <f t="shared" si="0"/>
        <v/>
      </c>
      <c r="G7" s="22" t="str">
        <f>IF(A7="","",Jan!AH7+Feb!AH7+Mär!AH7+Apr!AH7+Mai!AH7+Jun!AH7+Jul!AH7+Aug!AH7+Sep!AH7+Okt!AH7+Nov!AH7+Dez!AH7)</f>
        <v/>
      </c>
      <c r="H7" s="23" t="str">
        <f t="shared" si="1"/>
        <v/>
      </c>
      <c r="I7" s="22" t="str">
        <f>IF(A7="","",Jan!AI7+Feb!AI7+Mär!AI7+Apr!AI7+Mai!AI7+Jun!AI7+Jul!AI7+Aug!AI7+Sep!AI7+Okt!AI7+Nov!AI7+Dez!AI7)</f>
        <v/>
      </c>
      <c r="J7" s="22" t="str">
        <f>IF(A7="","",Jan!AJ7+Feb!AJ7+Mär!AJ7+Apr!AJ7+Mai!AJ7+Jun!AJ7+Jul!AJ7+Aug!AJ7+Sep!AJ7+Okt!AJ7+Nov!AJ7+Dez!AJ7)</f>
        <v/>
      </c>
    </row>
    <row r="8" spans="1:10" x14ac:dyDescent="0.25">
      <c r="A8" s="20"/>
      <c r="B8" s="20"/>
      <c r="C8" s="21">
        <v>5</v>
      </c>
      <c r="D8" s="21"/>
      <c r="E8" s="21"/>
      <c r="F8" s="22" t="str">
        <f t="shared" si="0"/>
        <v/>
      </c>
      <c r="G8" s="22" t="str">
        <f>IF(A8="","",Jan!AH8+Feb!AH8+Mär!AH8+Apr!AH8+Mai!AH8+Jun!AH8+Jul!AH8+Aug!AH8+Sep!AH8+Okt!AH8+Nov!AH8+Dez!AH8)</f>
        <v/>
      </c>
      <c r="H8" s="23" t="str">
        <f t="shared" si="1"/>
        <v/>
      </c>
      <c r="I8" s="22" t="str">
        <f>IF(A8="","",Jan!AI8+Feb!AI8+Mär!AI8+Apr!AI8+Mai!AI8+Jun!AI8+Jul!AI8+Aug!AI8+Sep!AI8+Okt!AI8+Nov!AI8+Dez!AI8)</f>
        <v/>
      </c>
      <c r="J8" s="22" t="str">
        <f>IF(A8="","",Jan!AJ8+Feb!AJ8+Mär!AJ8+Apr!AJ8+Mai!AJ8+Jun!AJ8+Jul!AJ8+Aug!AJ8+Sep!AJ8+Okt!AJ8+Nov!AJ8+Dez!AJ8)</f>
        <v/>
      </c>
    </row>
    <row r="9" spans="1:10" x14ac:dyDescent="0.25">
      <c r="A9" s="20"/>
      <c r="B9" s="20"/>
      <c r="C9" s="21">
        <v>5</v>
      </c>
      <c r="D9" s="21"/>
      <c r="E9" s="21"/>
      <c r="F9" s="22" t="str">
        <f t="shared" si="0"/>
        <v/>
      </c>
      <c r="G9" s="22" t="str">
        <f>IF(A9="","",Jan!AH9+Feb!AH9+Mär!AH9+Apr!AH9+Mai!AH9+Jun!AH9+Jul!AH9+Aug!AH9+Sep!AH9+Okt!AH9+Nov!AH9+Dez!AH9)</f>
        <v/>
      </c>
      <c r="H9" s="23" t="str">
        <f t="shared" si="1"/>
        <v/>
      </c>
      <c r="I9" s="22" t="str">
        <f>IF(A9="","",Jan!AI9+Feb!AI9+Mär!AI9+Apr!AI9+Mai!AI9+Jun!AI9+Jul!AI9+Aug!AI9+Sep!AI9+Okt!AI9+Nov!AI9+Dez!AI9)</f>
        <v/>
      </c>
      <c r="J9" s="22" t="str">
        <f>IF(A9="","",Jan!AJ9+Feb!AJ9+Mär!AJ9+Apr!AJ9+Mai!AJ9+Jun!AJ9+Jul!AJ9+Aug!AJ9+Sep!AJ9+Okt!AJ9+Nov!AJ9+Dez!AJ9)</f>
        <v/>
      </c>
    </row>
    <row r="10" spans="1:10" x14ac:dyDescent="0.25">
      <c r="A10" s="20"/>
      <c r="B10" s="20"/>
      <c r="C10" s="21">
        <v>5</v>
      </c>
      <c r="D10" s="21"/>
      <c r="E10" s="21"/>
      <c r="F10" s="22" t="str">
        <f t="shared" si="0"/>
        <v/>
      </c>
      <c r="G10" s="22" t="str">
        <f>IF(A10="","",Jan!AH10+Feb!AH10+Mär!AH10+Apr!AH10+Mai!AH10+Jun!AH10+Jul!AH10+Aug!AH10+Sep!AH10+Okt!AH10+Nov!AH10+Dez!AH10)</f>
        <v/>
      </c>
      <c r="H10" s="23" t="str">
        <f t="shared" si="1"/>
        <v/>
      </c>
      <c r="I10" s="22" t="str">
        <f>IF(A10="","",Jan!AI10+Feb!AI10+Mär!AI10+Apr!AI10+Mai!AI10+Jun!AI10+Jul!AI10+Aug!AI10+Sep!AI10+Okt!AI10+Nov!AI10+Dez!AI10)</f>
        <v/>
      </c>
      <c r="J10" s="22" t="str">
        <f>IF(A10="","",Jan!AJ10+Feb!AJ10+Mär!AJ10+Apr!AJ10+Mai!AJ10+Jun!AJ10+Jul!AJ10+Aug!AJ10+Sep!AJ10+Okt!AJ10+Nov!AJ10+Dez!AJ10)</f>
        <v/>
      </c>
    </row>
    <row r="11" spans="1:10" x14ac:dyDescent="0.25">
      <c r="A11" s="20"/>
      <c r="B11" s="20"/>
      <c r="C11" s="21">
        <v>5</v>
      </c>
      <c r="D11" s="21"/>
      <c r="E11" s="21"/>
      <c r="F11" s="22" t="str">
        <f t="shared" si="0"/>
        <v/>
      </c>
      <c r="G11" s="22" t="str">
        <f>IF(A11="","",Jan!AH11+Feb!AH11+Mär!AH11+Apr!AH11+Mai!AH11+Jun!AH11+Jul!AH11+Aug!AH11+Sep!AH11+Okt!AH11+Nov!AH11+Dez!AH11)</f>
        <v/>
      </c>
      <c r="H11" s="23" t="str">
        <f t="shared" si="1"/>
        <v/>
      </c>
      <c r="I11" s="22" t="str">
        <f>IF(A11="","",Jan!AI11+Feb!AI11+Mär!AI11+Apr!AI11+Mai!AI11+Jun!AI11+Jul!AI11+Aug!AI11+Sep!AI11+Okt!AI11+Nov!AI11+Dez!AI11)</f>
        <v/>
      </c>
      <c r="J11" s="22" t="str">
        <f>IF(A11="","",Jan!AJ11+Feb!AJ11+Mär!AJ11+Apr!AJ11+Mai!AJ11+Jun!AJ11+Jul!AJ11+Aug!AJ11+Sep!AJ11+Okt!AJ11+Nov!AJ11+Dez!AJ11)</f>
        <v/>
      </c>
    </row>
    <row r="12" spans="1:10" x14ac:dyDescent="0.25">
      <c r="A12" s="20"/>
      <c r="B12" s="20"/>
      <c r="C12" s="21">
        <v>5</v>
      </c>
      <c r="D12" s="21"/>
      <c r="E12" s="21"/>
      <c r="F12" s="22" t="str">
        <f t="shared" si="0"/>
        <v/>
      </c>
      <c r="G12" s="22" t="str">
        <f>IF(A12="","",Jan!AH12+Feb!AH12+Mär!AH12+Apr!AH12+Mai!AH12+Jun!AH12+Jul!AH12+Aug!AH12+Sep!AH12+Okt!AH12+Nov!AH12+Dez!AH12)</f>
        <v/>
      </c>
      <c r="H12" s="23" t="str">
        <f t="shared" si="1"/>
        <v/>
      </c>
      <c r="I12" s="22" t="str">
        <f>IF(A12="","",Jan!AI12+Feb!AI12+Mär!AI12+Apr!AI12+Mai!AI12+Jun!AI12+Jul!AI12+Aug!AI12+Sep!AI12+Okt!AI12+Nov!AI12+Dez!AI12)</f>
        <v/>
      </c>
      <c r="J12" s="22" t="str">
        <f>IF(A12="","",Jan!AJ12+Feb!AJ12+Mär!AJ12+Apr!AJ12+Mai!AJ12+Jun!AJ12+Jul!AJ12+Aug!AJ12+Sep!AJ12+Okt!AJ12+Nov!AJ12+Dez!AJ12)</f>
        <v/>
      </c>
    </row>
    <row r="13" spans="1:10" x14ac:dyDescent="0.25">
      <c r="A13" s="20"/>
      <c r="B13" s="20"/>
      <c r="C13" s="21">
        <v>5</v>
      </c>
      <c r="D13" s="21"/>
      <c r="E13" s="21"/>
      <c r="F13" s="22" t="str">
        <f t="shared" si="0"/>
        <v/>
      </c>
      <c r="G13" s="22" t="str">
        <f>IF(A13="","",Jan!AH13+Feb!AH13+Mär!AH13+Apr!AH13+Mai!AH13+Jun!AH13+Jul!AH13+Aug!AH13+Sep!AH13+Okt!AH13+Nov!AH13+Dez!AH13)</f>
        <v/>
      </c>
      <c r="H13" s="23" t="str">
        <f t="shared" si="1"/>
        <v/>
      </c>
      <c r="I13" s="22" t="str">
        <f>IF(A13="","",Jan!AI13+Feb!AI13+Mär!AI13+Apr!AI13+Mai!AI13+Jun!AI13+Jul!AI13+Aug!AI13+Sep!AI13+Okt!AI13+Nov!AI13+Dez!AI13)</f>
        <v/>
      </c>
      <c r="J13" s="22" t="str">
        <f>IF(A13="","",Jan!AJ13+Feb!AJ13+Mär!AJ13+Apr!AJ13+Mai!AJ13+Jun!AJ13+Jul!AJ13+Aug!AJ13+Sep!AJ13+Okt!AJ13+Nov!AJ13+Dez!AJ13)</f>
        <v/>
      </c>
    </row>
    <row r="14" spans="1:10" x14ac:dyDescent="0.25">
      <c r="A14" s="20"/>
      <c r="B14" s="20"/>
      <c r="C14" s="21">
        <v>5</v>
      </c>
      <c r="D14" s="21"/>
      <c r="E14" s="21"/>
      <c r="F14" s="22" t="str">
        <f t="shared" si="0"/>
        <v/>
      </c>
      <c r="G14" s="22" t="str">
        <f>IF(A14="","",Jan!AH14+Feb!AH14+Mär!AH14+Apr!AH14+Mai!AH14+Jun!AH14+Jul!AH14+Aug!AH14+Sep!AH14+Okt!AH14+Nov!AH14+Dez!AH14)</f>
        <v/>
      </c>
      <c r="H14" s="23" t="str">
        <f t="shared" si="1"/>
        <v/>
      </c>
      <c r="I14" s="22" t="str">
        <f>IF(A14="","",Jan!AI14+Feb!AI14+Mär!AI14+Apr!AI14+Mai!AI14+Jun!AI14+Jul!AI14+Aug!AI14+Sep!AI14+Okt!AI14+Nov!AI14+Dez!AI14)</f>
        <v/>
      </c>
      <c r="J14" s="22" t="str">
        <f>IF(A14="","",Jan!AJ14+Feb!AJ14+Mär!AJ14+Apr!AJ14+Mai!AJ14+Jun!AJ14+Jul!AJ14+Aug!AJ14+Sep!AJ14+Okt!AJ14+Nov!AJ14+Dez!AJ14)</f>
        <v/>
      </c>
    </row>
    <row r="15" spans="1:10" x14ac:dyDescent="0.25">
      <c r="A15" s="20"/>
      <c r="B15" s="20"/>
      <c r="C15" s="21">
        <v>5</v>
      </c>
      <c r="D15" s="21"/>
      <c r="E15" s="21"/>
      <c r="F15" s="22" t="str">
        <f t="shared" si="0"/>
        <v/>
      </c>
      <c r="G15" s="22" t="str">
        <f>IF(A15="","",Jan!AH15+Feb!AH15+Mär!AH15+Apr!AH15+Mai!AH15+Jun!AH15+Jul!AH15+Aug!AH15+Sep!AH15+Okt!AH15+Nov!AH15+Dez!AH15)</f>
        <v/>
      </c>
      <c r="H15" s="23" t="str">
        <f t="shared" si="1"/>
        <v/>
      </c>
      <c r="I15" s="22" t="str">
        <f>IF(A15="","",Jan!AI15+Feb!AI15+Mär!AI15+Apr!AI15+Mai!AI15+Jun!AI15+Jul!AI15+Aug!AI15+Sep!AI15+Okt!AI15+Nov!AI15+Dez!AI15)</f>
        <v/>
      </c>
      <c r="J15" s="22" t="str">
        <f>IF(A15="","",Jan!AJ15+Feb!AJ15+Mär!AJ15+Apr!AJ15+Mai!AJ15+Jun!AJ15+Jul!AJ15+Aug!AJ15+Sep!AJ15+Okt!AJ15+Nov!AJ15+Dez!AJ15)</f>
        <v/>
      </c>
    </row>
    <row r="16" spans="1:10" x14ac:dyDescent="0.25">
      <c r="A16" s="20"/>
      <c r="B16" s="20"/>
      <c r="C16" s="21">
        <v>5</v>
      </c>
      <c r="D16" s="21"/>
      <c r="E16" s="21"/>
      <c r="F16" s="22" t="str">
        <f t="shared" si="0"/>
        <v/>
      </c>
      <c r="G16" s="22" t="str">
        <f>IF(A16="","",Jan!AH16+Feb!AH16+Mär!AH16+Apr!AH16+Mai!AH16+Jun!AH16+Jul!AH16+Aug!AH16+Sep!AH16+Okt!AH16+Nov!AH16+Dez!AH16)</f>
        <v/>
      </c>
      <c r="H16" s="23" t="str">
        <f t="shared" si="1"/>
        <v/>
      </c>
      <c r="I16" s="22" t="str">
        <f>IF(A16="","",Jan!AI16+Feb!AI16+Mär!AI16+Apr!AI16+Mai!AI16+Jun!AI16+Jul!AI16+Aug!AI16+Sep!AI16+Okt!AI16+Nov!AI16+Dez!AI16)</f>
        <v/>
      </c>
      <c r="J16" s="22" t="str">
        <f>IF(A16="","",Jan!AJ16+Feb!AJ16+Mär!AJ16+Apr!AJ16+Mai!AJ16+Jun!AJ16+Jul!AJ16+Aug!AJ16+Sep!AJ16+Okt!AJ16+Nov!AJ16+Dez!AJ16)</f>
        <v/>
      </c>
    </row>
    <row r="17" spans="1:10" x14ac:dyDescent="0.25">
      <c r="A17" s="20"/>
      <c r="B17" s="20"/>
      <c r="C17" s="21">
        <v>5</v>
      </c>
      <c r="D17" s="21"/>
      <c r="E17" s="21"/>
      <c r="F17" s="22" t="str">
        <f t="shared" si="0"/>
        <v/>
      </c>
      <c r="G17" s="22" t="str">
        <f>IF(A17="","",Jan!AH17+Feb!AH17+Mär!AH17+Apr!AH17+Mai!AH17+Jun!AH17+Jul!AH17+Aug!AH17+Sep!AH17+Okt!AH17+Nov!AH17+Dez!AH17)</f>
        <v/>
      </c>
      <c r="H17" s="23" t="str">
        <f t="shared" si="1"/>
        <v/>
      </c>
      <c r="I17" s="22" t="str">
        <f>IF(A17="","",Jan!AI17+Feb!AI17+Mär!AI17+Apr!AI17+Mai!AI17+Jun!AI17+Jul!AI17+Aug!AI17+Sep!AI17+Okt!AI17+Nov!AI17+Dez!AI17)</f>
        <v/>
      </c>
      <c r="J17" s="22" t="str">
        <f>IF(A17="","",Jan!AJ17+Feb!AJ17+Mär!AJ17+Apr!AJ17+Mai!AJ17+Jun!AJ17+Jul!AJ17+Aug!AJ17+Sep!AJ17+Okt!AJ17+Nov!AJ17+Dez!AJ17)</f>
        <v/>
      </c>
    </row>
    <row r="18" spans="1:10" x14ac:dyDescent="0.25">
      <c r="A18" s="20"/>
      <c r="B18" s="20"/>
      <c r="C18" s="21">
        <v>5</v>
      </c>
      <c r="D18" s="21"/>
      <c r="E18" s="21"/>
      <c r="F18" s="22" t="str">
        <f t="shared" si="0"/>
        <v/>
      </c>
      <c r="G18" s="22" t="str">
        <f>IF(A18="","",Jan!AH18+Feb!AH18+Mär!AH18+Apr!AH18+Mai!AH18+Jun!AH18+Jul!AH18+Aug!AH18+Sep!AH18+Okt!AH18+Nov!AH18+Dez!AH18)</f>
        <v/>
      </c>
      <c r="H18" s="23" t="str">
        <f t="shared" si="1"/>
        <v/>
      </c>
      <c r="I18" s="22" t="str">
        <f>IF(A18="","",Jan!AI18+Feb!AI18+Mär!AI18+Apr!AI18+Mai!AI18+Jun!AI18+Jul!AI18+Aug!AI18+Sep!AI18+Okt!AI18+Nov!AI18+Dez!AI18)</f>
        <v/>
      </c>
      <c r="J18" s="22" t="str">
        <f>IF(A18="","",Jan!AJ18+Feb!AJ18+Mär!AJ18+Apr!AJ18+Mai!AJ18+Jun!AJ18+Jul!AJ18+Aug!AJ18+Sep!AJ18+Okt!AJ18+Nov!AJ18+Dez!AJ18)</f>
        <v/>
      </c>
    </row>
    <row r="19" spans="1:10" x14ac:dyDescent="0.25">
      <c r="A19" s="20"/>
      <c r="B19" s="20"/>
      <c r="C19" s="21">
        <v>5</v>
      </c>
      <c r="D19" s="21"/>
      <c r="E19" s="21"/>
      <c r="F19" s="22" t="str">
        <f t="shared" si="0"/>
        <v/>
      </c>
      <c r="G19" s="22" t="str">
        <f>IF(A19="","",Jan!AH19+Feb!AH19+Mär!AH19+Apr!AH19+Mai!AH19+Jun!AH19+Jul!AH19+Aug!AH19+Sep!AH19+Okt!AH19+Nov!AH19+Dez!AH19)</f>
        <v/>
      </c>
      <c r="H19" s="23" t="str">
        <f t="shared" si="1"/>
        <v/>
      </c>
      <c r="I19" s="22" t="str">
        <f>IF(A19="","",Jan!AI19+Feb!AI19+Mär!AI19+Apr!AI19+Mai!AI19+Jun!AI19+Jul!AI19+Aug!AI19+Sep!AI19+Okt!AI19+Nov!AI19+Dez!AI19)</f>
        <v/>
      </c>
      <c r="J19" s="22" t="str">
        <f>IF(A19="","",Jan!AJ19+Feb!AJ19+Mär!AJ19+Apr!AJ19+Mai!AJ19+Jun!AJ19+Jul!AJ19+Aug!AJ19+Sep!AJ19+Okt!AJ19+Nov!AJ19+Dez!AJ19)</f>
        <v/>
      </c>
    </row>
    <row r="20" spans="1:10" x14ac:dyDescent="0.25">
      <c r="A20" s="20"/>
      <c r="B20" s="20"/>
      <c r="C20" s="21">
        <v>5</v>
      </c>
      <c r="D20" s="21"/>
      <c r="E20" s="21"/>
      <c r="F20" s="22" t="str">
        <f t="shared" si="0"/>
        <v/>
      </c>
      <c r="G20" s="22" t="str">
        <f>IF(A20="","",Jan!AH20+Feb!AH20+Mär!AH20+Apr!AH20+Mai!AH20+Jun!AH20+Jul!AH20+Aug!AH20+Sep!AH20+Okt!AH20+Nov!AH20+Dez!AH20)</f>
        <v/>
      </c>
      <c r="H20" s="23" t="str">
        <f t="shared" si="1"/>
        <v/>
      </c>
      <c r="I20" s="22" t="str">
        <f>IF(A20="","",Jan!AI20+Feb!AI20+Mär!AI20+Apr!AI20+Mai!AI20+Jun!AI20+Jul!AI20+Aug!AI20+Sep!AI20+Okt!AI20+Nov!AI20+Dez!AI20)</f>
        <v/>
      </c>
      <c r="J20" s="22" t="str">
        <f>IF(A20="","",Jan!AJ20+Feb!AJ20+Mär!AJ20+Apr!AJ20+Mai!AJ20+Jun!AJ20+Jul!AJ20+Aug!AJ20+Sep!AJ20+Okt!AJ20+Nov!AJ20+Dez!AJ20)</f>
        <v/>
      </c>
    </row>
    <row r="21" spans="1:10" x14ac:dyDescent="0.25">
      <c r="A21" s="20"/>
      <c r="B21" s="20"/>
      <c r="C21" s="21">
        <v>5</v>
      </c>
      <c r="D21" s="21"/>
      <c r="E21" s="21"/>
      <c r="F21" s="22" t="str">
        <f t="shared" si="0"/>
        <v/>
      </c>
      <c r="G21" s="22" t="str">
        <f>IF(A21="","",Jan!AH21+Feb!AH21+Mär!AH21+Apr!AH21+Mai!AH21+Jun!AH21+Jul!AH21+Aug!AH21+Sep!AH21+Okt!AH21+Nov!AH21+Dez!AH21)</f>
        <v/>
      </c>
      <c r="H21" s="23" t="str">
        <f t="shared" si="1"/>
        <v/>
      </c>
      <c r="I21" s="22" t="str">
        <f>IF(A21="","",Jan!AI21+Feb!AI21+Mär!AI21+Apr!AI21+Mai!AI21+Jun!AI21+Jul!AI21+Aug!AI21+Sep!AI21+Okt!AI21+Nov!AI21+Dez!AI21)</f>
        <v/>
      </c>
      <c r="J21" s="22" t="str">
        <f>IF(A21="","",Jan!AJ21+Feb!AJ21+Mär!AJ21+Apr!AJ21+Mai!AJ21+Jun!AJ21+Jul!AJ21+Aug!AJ21+Sep!AJ21+Okt!AJ21+Nov!AJ21+Dez!AJ21)</f>
        <v/>
      </c>
    </row>
    <row r="22" spans="1:10" x14ac:dyDescent="0.25">
      <c r="A22" s="20"/>
      <c r="B22" s="20"/>
      <c r="C22" s="21">
        <v>5</v>
      </c>
      <c r="D22" s="21"/>
      <c r="E22" s="21"/>
      <c r="F22" s="22" t="str">
        <f t="shared" si="0"/>
        <v/>
      </c>
      <c r="G22" s="22" t="str">
        <f>IF(A22="","",Jan!AH22+Feb!AH22+Mär!AH22+Apr!AH22+Mai!AH22+Jun!AH22+Jul!AH22+Aug!AH22+Sep!AH22+Okt!AH22+Nov!AH22+Dez!AH22)</f>
        <v/>
      </c>
      <c r="H22" s="23" t="str">
        <f t="shared" si="1"/>
        <v/>
      </c>
      <c r="I22" s="22" t="str">
        <f>IF(A22="","",Jan!AI22+Feb!AI22+Mär!AI22+Apr!AI22+Mai!AI22+Jun!AI22+Jul!AI22+Aug!AI22+Sep!AI22+Okt!AI22+Nov!AI22+Dez!AI22)</f>
        <v/>
      </c>
      <c r="J22" s="22" t="str">
        <f>IF(A22="","",Jan!AJ22+Feb!AJ22+Mär!AJ22+Apr!AJ22+Mai!AJ22+Jun!AJ22+Jul!AJ22+Aug!AJ22+Sep!AJ22+Okt!AJ22+Nov!AJ22+Dez!AJ22)</f>
        <v/>
      </c>
    </row>
    <row r="23" spans="1:10" x14ac:dyDescent="0.25">
      <c r="A23" s="20"/>
      <c r="B23" s="20"/>
      <c r="C23" s="21">
        <v>5</v>
      </c>
      <c r="D23" s="21"/>
      <c r="E23" s="21"/>
      <c r="F23" s="22" t="str">
        <f t="shared" si="0"/>
        <v/>
      </c>
      <c r="G23" s="22" t="str">
        <f>IF(A23="","",Jan!AH23+Feb!AH23+Mär!AH23+Apr!AH23+Mai!AH23+Jun!AH23+Jul!AH23+Aug!AH23+Sep!AH23+Okt!AH23+Nov!AH23+Dez!AH23)</f>
        <v/>
      </c>
      <c r="H23" s="23" t="str">
        <f t="shared" si="1"/>
        <v/>
      </c>
      <c r="I23" s="22" t="str">
        <f>IF(A23="","",Jan!AI23+Feb!AI23+Mär!AI23+Apr!AI23+Mai!AI23+Jun!AI23+Jul!AI23+Aug!AI23+Sep!AI23+Okt!AI23+Nov!AI23+Dez!AI23)</f>
        <v/>
      </c>
      <c r="J23" s="22" t="str">
        <f>IF(A23="","",Jan!AJ23+Feb!AJ23+Mär!AJ23+Apr!AJ23+Mai!AJ23+Jun!AJ23+Jul!AJ23+Aug!AJ23+Sep!AJ23+Okt!AJ23+Nov!AJ23+Dez!AJ23)</f>
        <v/>
      </c>
    </row>
    <row r="24" spans="1:10" x14ac:dyDescent="0.25">
      <c r="A24" s="20"/>
      <c r="B24" s="20"/>
      <c r="C24" s="21">
        <v>5</v>
      </c>
      <c r="D24" s="21"/>
      <c r="E24" s="21"/>
      <c r="F24" s="22" t="str">
        <f t="shared" si="0"/>
        <v/>
      </c>
      <c r="G24" s="22" t="str">
        <f>IF(A24="","",Jan!AH24+Feb!AH24+Mär!AH24+Apr!AH24+Mai!AH24+Jun!AH24+Jul!AH24+Aug!AH24+Sep!AH24+Okt!AH24+Nov!AH24+Dez!AH24)</f>
        <v/>
      </c>
      <c r="H24" s="23" t="str">
        <f t="shared" si="1"/>
        <v/>
      </c>
      <c r="I24" s="22" t="str">
        <f>IF(A24="","",Jan!AI24+Feb!AI24+Mär!AI24+Apr!AI24+Mai!AI24+Jun!AI24+Jul!AI24+Aug!AI24+Sep!AI24+Okt!AI24+Nov!AI24+Dez!AI24)</f>
        <v/>
      </c>
      <c r="J24" s="22" t="str">
        <f>IF(A24="","",Jan!AJ24+Feb!AJ24+Mär!AJ24+Apr!AJ24+Mai!AJ24+Jun!AJ24+Jul!AJ24+Aug!AJ24+Sep!AJ24+Okt!AJ24+Nov!AJ24+Dez!AJ24)</f>
        <v/>
      </c>
    </row>
    <row r="25" spans="1:10" x14ac:dyDescent="0.25">
      <c r="A25" s="20"/>
      <c r="B25" s="20"/>
      <c r="C25" s="21">
        <v>5</v>
      </c>
      <c r="D25" s="21"/>
      <c r="E25" s="21"/>
      <c r="F25" s="22" t="str">
        <f t="shared" si="0"/>
        <v/>
      </c>
      <c r="G25" s="22" t="str">
        <f>IF(A25="","",Jan!AH25+Feb!AH25+Mär!AH25+Apr!AH25+Mai!AH25+Jun!AH25+Jul!AH25+Aug!AH25+Sep!AH25+Okt!AH25+Nov!AH25+Dez!AH25)</f>
        <v/>
      </c>
      <c r="H25" s="23" t="str">
        <f t="shared" si="1"/>
        <v/>
      </c>
      <c r="I25" s="22" t="str">
        <f>IF(A25="","",Jan!AI25+Feb!AI25+Mär!AI25+Apr!AI25+Mai!AI25+Jun!AI25+Jul!AI25+Aug!AI25+Sep!AI25+Okt!AI25+Nov!AI25+Dez!AI25)</f>
        <v/>
      </c>
      <c r="J25" s="22" t="str">
        <f>IF(A25="","",Jan!AJ25+Feb!AJ25+Mär!AJ25+Apr!AJ25+Mai!AJ25+Jun!AJ25+Jul!AJ25+Aug!AJ25+Sep!AJ25+Okt!AJ25+Nov!AJ25+Dez!AJ25)</f>
        <v/>
      </c>
    </row>
    <row r="26" spans="1:10" x14ac:dyDescent="0.25">
      <c r="A26" s="20"/>
      <c r="B26" s="20"/>
      <c r="C26" s="21">
        <v>5</v>
      </c>
      <c r="D26" s="21"/>
      <c r="E26" s="21"/>
      <c r="F26" s="22" t="str">
        <f t="shared" si="0"/>
        <v/>
      </c>
      <c r="G26" s="22" t="str">
        <f>IF(A26="","",Jan!AH26+Feb!AH26+Mär!AH26+Apr!AH26+Mai!AH26+Jun!AH26+Jul!AH26+Aug!AH26+Sep!AH26+Okt!AH26+Nov!AH26+Dez!AH26)</f>
        <v/>
      </c>
      <c r="H26" s="23" t="str">
        <f t="shared" si="1"/>
        <v/>
      </c>
      <c r="I26" s="22" t="str">
        <f>IF(A26="","",Jan!AI26+Feb!AI26+Mär!AI26+Apr!AI26+Mai!AI26+Jun!AI26+Jul!AI26+Aug!AI26+Sep!AI26+Okt!AI26+Nov!AI26+Dez!AI26)</f>
        <v/>
      </c>
      <c r="J26" s="22" t="str">
        <f>IF(A26="","",Jan!AJ26+Feb!AJ26+Mär!AJ26+Apr!AJ26+Mai!AJ26+Jun!AJ26+Jul!AJ26+Aug!AJ26+Sep!AJ26+Okt!AJ26+Nov!AJ26+Dez!AJ26)</f>
        <v/>
      </c>
    </row>
    <row r="27" spans="1:10" x14ac:dyDescent="0.25">
      <c r="A27" s="20"/>
      <c r="B27" s="20"/>
      <c r="C27" s="21">
        <v>5</v>
      </c>
      <c r="D27" s="21"/>
      <c r="E27" s="21"/>
      <c r="F27" s="22" t="str">
        <f t="shared" si="0"/>
        <v/>
      </c>
      <c r="G27" s="22" t="str">
        <f>IF(A27="","",Jan!AH27+Feb!AH27+Mär!AH27+Apr!AH27+Mai!AH27+Jun!AH27+Jul!AH27+Aug!AH27+Sep!AH27+Okt!AH27+Nov!AH27+Dez!AH27)</f>
        <v/>
      </c>
      <c r="H27" s="23" t="str">
        <f t="shared" si="1"/>
        <v/>
      </c>
      <c r="I27" s="22" t="str">
        <f>IF(A27="","",Jan!AI27+Feb!AI27+Mär!AI27+Apr!AI27+Mai!AI27+Jun!AI27+Jul!AI27+Aug!AI27+Sep!AI27+Okt!AI27+Nov!AI27+Dez!AI27)</f>
        <v/>
      </c>
      <c r="J27" s="22" t="str">
        <f>IF(A27="","",Jan!AJ27+Feb!AJ27+Mär!AJ27+Apr!AJ27+Mai!AJ27+Jun!AJ27+Jul!AJ27+Aug!AJ27+Sep!AJ27+Okt!AJ27+Nov!AJ27+Dez!AJ27)</f>
        <v/>
      </c>
    </row>
    <row r="28" spans="1:10" x14ac:dyDescent="0.25">
      <c r="A28" s="20"/>
      <c r="B28" s="20"/>
      <c r="C28" s="21">
        <v>5</v>
      </c>
      <c r="D28" s="21"/>
      <c r="E28" s="21"/>
      <c r="F28" s="22" t="str">
        <f t="shared" si="0"/>
        <v/>
      </c>
      <c r="G28" s="22" t="str">
        <f>IF(A28="","",Jan!AH28+Feb!AH28+Mär!AH28+Apr!AH28+Mai!AH28+Jun!AH28+Jul!AH28+Aug!AH28+Sep!AH28+Okt!AH28+Nov!AH28+Dez!AH28)</f>
        <v/>
      </c>
      <c r="H28" s="23" t="str">
        <f t="shared" si="1"/>
        <v/>
      </c>
      <c r="I28" s="22" t="str">
        <f>IF(A28="","",Jan!AI28+Feb!AI28+Mär!AI28+Apr!AI28+Mai!AI28+Jun!AI28+Jul!AI28+Aug!AI28+Sep!AI28+Okt!AI28+Nov!AI28+Dez!AI28)</f>
        <v/>
      </c>
      <c r="J28" s="22" t="str">
        <f>IF(A28="","",Jan!AJ28+Feb!AJ28+Mär!AJ28+Apr!AJ28+Mai!AJ28+Jun!AJ28+Jul!AJ28+Aug!AJ28+Sep!AJ28+Okt!AJ28+Nov!AJ28+Dez!AJ28)</f>
        <v/>
      </c>
    </row>
    <row r="29" spans="1:10" x14ac:dyDescent="0.25">
      <c r="A29" s="20"/>
      <c r="B29" s="20"/>
      <c r="C29" s="21">
        <v>5</v>
      </c>
      <c r="D29" s="21"/>
      <c r="E29" s="21"/>
      <c r="F29" s="22" t="str">
        <f t="shared" si="0"/>
        <v/>
      </c>
      <c r="G29" s="22" t="str">
        <f>IF(A29="","",Jan!AH29+Feb!AH29+Mär!AH29+Apr!AH29+Mai!AH29+Jun!AH29+Jul!AH29+Aug!AH29+Sep!AH29+Okt!AH29+Nov!AH29+Dez!AH29)</f>
        <v/>
      </c>
      <c r="H29" s="23" t="str">
        <f t="shared" si="1"/>
        <v/>
      </c>
      <c r="I29" s="22" t="str">
        <f>IF(A29="","",Jan!AI29+Feb!AI29+Mär!AI29+Apr!AI29+Mai!AI29+Jun!AI29+Jul!AI29+Aug!AI29+Sep!AI29+Okt!AI29+Nov!AI29+Dez!AI29)</f>
        <v/>
      </c>
      <c r="J29" s="22" t="str">
        <f>IF(A29="","",Jan!AJ29+Feb!AJ29+Mär!AJ29+Apr!AJ29+Mai!AJ29+Jun!AJ29+Jul!AJ29+Aug!AJ29+Sep!AJ29+Okt!AJ29+Nov!AJ29+Dez!AJ29)</f>
        <v/>
      </c>
    </row>
    <row r="30" spans="1:10" x14ac:dyDescent="0.25">
      <c r="A30" s="20"/>
      <c r="B30" s="20"/>
      <c r="C30" s="21">
        <v>5</v>
      </c>
      <c r="D30" s="21"/>
      <c r="E30" s="21"/>
      <c r="F30" s="22" t="str">
        <f t="shared" si="0"/>
        <v/>
      </c>
      <c r="G30" s="22" t="str">
        <f>IF(A30="","",Jan!AH30+Feb!AH30+Mär!AH30+Apr!AH30+Mai!AH30+Jun!AH30+Jul!AH30+Aug!AH30+Sep!AH30+Okt!AH30+Nov!AH30+Dez!AH30)</f>
        <v/>
      </c>
      <c r="H30" s="23" t="str">
        <f t="shared" si="1"/>
        <v/>
      </c>
      <c r="I30" s="22" t="str">
        <f>IF(A30="","",Jan!AI30+Feb!AI30+Mär!AI30+Apr!AI30+Mai!AI30+Jun!AI30+Jul!AI30+Aug!AI30+Sep!AI30+Okt!AI30+Nov!AI30+Dez!AI30)</f>
        <v/>
      </c>
      <c r="J30" s="22" t="str">
        <f>IF(A30="","",Jan!AJ30+Feb!AJ30+Mär!AJ30+Apr!AJ30+Mai!AJ30+Jun!AJ30+Jul!AJ30+Aug!AJ30+Sep!AJ30+Okt!AJ30+Nov!AJ30+Dez!AJ30)</f>
        <v/>
      </c>
    </row>
    <row r="31" spans="1:10" x14ac:dyDescent="0.25">
      <c r="A31" s="20"/>
      <c r="B31" s="20"/>
      <c r="C31" s="21">
        <v>5</v>
      </c>
      <c r="D31" s="21"/>
      <c r="E31" s="21"/>
      <c r="F31" s="22" t="str">
        <f t="shared" si="0"/>
        <v/>
      </c>
      <c r="G31" s="22" t="str">
        <f>IF(A31="","",Jan!AH31+Feb!AH31+Mär!AH31+Apr!AH31+Mai!AH31+Jun!AH31+Jul!AH31+Aug!AH31+Sep!AH31+Okt!AH31+Nov!AH31+Dez!AH31)</f>
        <v/>
      </c>
      <c r="H31" s="23" t="str">
        <f t="shared" si="1"/>
        <v/>
      </c>
      <c r="I31" s="22" t="str">
        <f>IF(A31="","",Jan!AI31+Feb!AI31+Mär!AI31+Apr!AI31+Mai!AI31+Jun!AI31+Jul!AI31+Aug!AI31+Sep!AI31+Okt!AI31+Nov!AI31+Dez!AI31)</f>
        <v/>
      </c>
      <c r="J31" s="22" t="str">
        <f>IF(A31="","",Jan!AJ31+Feb!AJ31+Mär!AJ31+Apr!AJ31+Mai!AJ31+Jun!AJ31+Jul!AJ31+Aug!AJ31+Sep!AJ31+Okt!AJ31+Nov!AJ31+Dez!AJ31)</f>
        <v/>
      </c>
    </row>
    <row r="32" spans="1:10" x14ac:dyDescent="0.25">
      <c r="A32" s="20"/>
      <c r="B32" s="20"/>
      <c r="C32" s="21">
        <v>5</v>
      </c>
      <c r="D32" s="21"/>
      <c r="E32" s="21"/>
      <c r="F32" s="22" t="str">
        <f t="shared" si="0"/>
        <v/>
      </c>
      <c r="G32" s="22" t="str">
        <f>IF(A32="","",Jan!AH32+Feb!AH32+Mär!AH32+Apr!AH32+Mai!AH32+Jun!AH32+Jul!AH32+Aug!AH32+Sep!AH32+Okt!AH32+Nov!AH32+Dez!AH32)</f>
        <v/>
      </c>
      <c r="H32" s="23" t="str">
        <f t="shared" si="1"/>
        <v/>
      </c>
      <c r="I32" s="22" t="str">
        <f>IF(A32="","",Jan!AI32+Feb!AI32+Mär!AI32+Apr!AI32+Mai!AI32+Jun!AI32+Jul!AI32+Aug!AI32+Sep!AI32+Okt!AI32+Nov!AI32+Dez!AI32)</f>
        <v/>
      </c>
      <c r="J32" s="22" t="str">
        <f>IF(A32="","",Jan!AJ32+Feb!AJ32+Mär!AJ32+Apr!AJ32+Mai!AJ32+Jun!AJ32+Jul!AJ32+Aug!AJ32+Sep!AJ32+Okt!AJ32+Nov!AJ32+Dez!AJ32)</f>
        <v/>
      </c>
    </row>
    <row r="33" spans="1:10" x14ac:dyDescent="0.25">
      <c r="A33" s="20"/>
      <c r="B33" s="20"/>
      <c r="C33" s="21">
        <v>5</v>
      </c>
      <c r="D33" s="21"/>
      <c r="E33" s="21"/>
      <c r="F33" s="22" t="str">
        <f t="shared" si="0"/>
        <v/>
      </c>
      <c r="G33" s="22" t="str">
        <f>IF(A33="","",Jan!AH33+Feb!AH33+Mär!AH33+Apr!AH33+Mai!AH33+Jun!AH33+Jul!AH33+Aug!AH33+Sep!AH33+Okt!AH33+Nov!AH33+Dez!AH33)</f>
        <v/>
      </c>
      <c r="H33" s="23" t="str">
        <f t="shared" si="1"/>
        <v/>
      </c>
      <c r="I33" s="22" t="str">
        <f>IF(A33="","",Jan!AI33+Feb!AI33+Mär!AI33+Apr!AI33+Mai!AI33+Jun!AI33+Jul!AI33+Aug!AI33+Sep!AI33+Okt!AI33+Nov!AI33+Dez!AI33)</f>
        <v/>
      </c>
      <c r="J33" s="22" t="str">
        <f>IF(A33="","",Jan!AJ33+Feb!AJ33+Mär!AJ33+Apr!AJ33+Mai!AJ33+Jun!AJ33+Jul!AJ33+Aug!AJ33+Sep!AJ33+Okt!AJ33+Nov!AJ33+Dez!AJ33)</f>
        <v/>
      </c>
    </row>
    <row r="34" spans="1:10" x14ac:dyDescent="0.25">
      <c r="A34" s="20"/>
      <c r="B34" s="20"/>
      <c r="C34" s="21">
        <v>5</v>
      </c>
      <c r="D34" s="21"/>
      <c r="E34" s="21"/>
      <c r="F34" s="22" t="str">
        <f t="shared" si="0"/>
        <v/>
      </c>
      <c r="G34" s="22" t="str">
        <f>IF(A34="","",Jan!AH34+Feb!AH34+Mär!AH34+Apr!AH34+Mai!AH34+Jun!AH34+Jul!AH34+Aug!AH34+Sep!AH34+Okt!AH34+Nov!AH34+Dez!AH34)</f>
        <v/>
      </c>
      <c r="H34" s="23" t="str">
        <f t="shared" si="1"/>
        <v/>
      </c>
      <c r="I34" s="22" t="str">
        <f>IF(A34="","",Jan!AI34+Feb!AI34+Mär!AI34+Apr!AI34+Mai!AI34+Jun!AI34+Jul!AI34+Aug!AI34+Sep!AI34+Okt!AI34+Nov!AI34+Dez!AI34)</f>
        <v/>
      </c>
      <c r="J34" s="22" t="str">
        <f>IF(A34="","",Jan!AJ34+Feb!AJ34+Mär!AJ34+Apr!AJ34+Mai!AJ34+Jun!AJ34+Jul!AJ34+Aug!AJ34+Sep!AJ34+Okt!AJ34+Nov!AJ34+Dez!AJ34)</f>
        <v/>
      </c>
    </row>
    <row r="36" spans="1:10" x14ac:dyDescent="0.25">
      <c r="A36" s="24" t="s">
        <v>52</v>
      </c>
    </row>
    <row r="37" spans="1:10" x14ac:dyDescent="0.25">
      <c r="A37" s="24" t="s">
        <v>53</v>
      </c>
    </row>
    <row r="38" spans="1:10" x14ac:dyDescent="0.25">
      <c r="A38" s="25" t="s">
        <v>54</v>
      </c>
    </row>
  </sheetData>
  <conditionalFormatting sqref="H5:H34">
    <cfRule type="expression" dxfId="109" priority="1">
      <formula>AND(ISNUMBER(H5),H5&lt;0)</formula>
    </cfRule>
  </conditionalFormatting>
  <dataValidations count="1">
    <dataValidation type="decimal" sqref="C5:C34" xr:uid="{00000000-0002-0000-0100-000000000000}">
      <formula1>1</formula1>
      <formula2>7</formula2>
    </dataValidation>
  </dataValidations>
  <hyperlinks>
    <hyperlink ref="A38" r:id="rId1" xr:uid="{00000000-0004-0000-0100-000000000000}"/>
  </hyperlinks>
  <pageMargins left="0.75" right="0.75" top="1" bottom="1" header="0.5" footer="0.5"/>
  <pageSetup orientation="landscape"/>
  <headerFooter>
    <oddFooter>&amp;C&amp;8 &amp;K686E70Vorlage von seminaron.de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37"/>
  <sheetViews>
    <sheetView showGridLines="0" zoomScale="9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4" customWidth="1"/>
    <col min="2" max="32" width="4.140625" customWidth="1"/>
    <col min="33" max="33" width="1.42578125" customWidth="1"/>
    <col min="34" max="36" width="8.42578125" customWidth="1"/>
  </cols>
  <sheetData>
    <row r="1" spans="1:36" ht="23.25" x14ac:dyDescent="0.35">
      <c r="A1" s="18" t="str">
        <f>"Januar "&amp;Jahr&amp;IF(Firma="",""," · "&amp;Firma)</f>
        <v>Januar 2027</v>
      </c>
    </row>
    <row r="2" spans="1:36" hidden="1" x14ac:dyDescent="0.25">
      <c r="A2" s="26" t="s">
        <v>55</v>
      </c>
      <c r="B2" s="27">
        <f t="shared" ref="B2:AF2" si="0">IF(B3="",0,IF(WEEKDAY(B3,2)&gt;5,0,IF(COUNTIF(Feiertage_aktiv,B3)&gt;0,0,1)))</f>
        <v>0</v>
      </c>
      <c r="C2" s="27">
        <f t="shared" si="0"/>
        <v>0</v>
      </c>
      <c r="D2" s="27">
        <f t="shared" si="0"/>
        <v>0</v>
      </c>
      <c r="E2" s="27">
        <f t="shared" si="0"/>
        <v>1</v>
      </c>
      <c r="F2" s="27">
        <f t="shared" si="0"/>
        <v>1</v>
      </c>
      <c r="G2" s="27">
        <f t="shared" si="0"/>
        <v>1</v>
      </c>
      <c r="H2" s="27">
        <f t="shared" si="0"/>
        <v>1</v>
      </c>
      <c r="I2" s="27">
        <f t="shared" si="0"/>
        <v>1</v>
      </c>
      <c r="J2" s="27">
        <f t="shared" si="0"/>
        <v>0</v>
      </c>
      <c r="K2" s="27">
        <f t="shared" si="0"/>
        <v>0</v>
      </c>
      <c r="L2" s="27">
        <f t="shared" si="0"/>
        <v>1</v>
      </c>
      <c r="M2" s="27">
        <f t="shared" si="0"/>
        <v>1</v>
      </c>
      <c r="N2" s="27">
        <f t="shared" si="0"/>
        <v>1</v>
      </c>
      <c r="O2" s="27">
        <f t="shared" si="0"/>
        <v>1</v>
      </c>
      <c r="P2" s="27">
        <f t="shared" si="0"/>
        <v>1</v>
      </c>
      <c r="Q2" s="27">
        <f t="shared" si="0"/>
        <v>0</v>
      </c>
      <c r="R2" s="27">
        <f t="shared" si="0"/>
        <v>0</v>
      </c>
      <c r="S2" s="27">
        <f t="shared" si="0"/>
        <v>1</v>
      </c>
      <c r="T2" s="27">
        <f t="shared" si="0"/>
        <v>1</v>
      </c>
      <c r="U2" s="27">
        <f t="shared" si="0"/>
        <v>1</v>
      </c>
      <c r="V2" s="27">
        <f t="shared" si="0"/>
        <v>1</v>
      </c>
      <c r="W2" s="27">
        <f t="shared" si="0"/>
        <v>1</v>
      </c>
      <c r="X2" s="27">
        <f t="shared" si="0"/>
        <v>0</v>
      </c>
      <c r="Y2" s="27">
        <f t="shared" si="0"/>
        <v>0</v>
      </c>
      <c r="Z2" s="27">
        <f t="shared" si="0"/>
        <v>1</v>
      </c>
      <c r="AA2" s="27">
        <f t="shared" si="0"/>
        <v>1</v>
      </c>
      <c r="AB2" s="27">
        <f t="shared" si="0"/>
        <v>1</v>
      </c>
      <c r="AC2" s="27">
        <f t="shared" si="0"/>
        <v>1</v>
      </c>
      <c r="AD2" s="27">
        <f t="shared" si="0"/>
        <v>1</v>
      </c>
      <c r="AE2" s="27">
        <f t="shared" si="0"/>
        <v>0</v>
      </c>
      <c r="AF2" s="27">
        <f t="shared" si="0"/>
        <v>0</v>
      </c>
    </row>
    <row r="3" spans="1:36" x14ac:dyDescent="0.25">
      <c r="A3" s="17" t="str">
        <f>"Bundesland: "&amp;Bundesland</f>
        <v>Bundesland: Nordrhein-Westfalen</v>
      </c>
      <c r="B3" s="28">
        <f>IF(MONTH(DATE(Jahr,1,1))=1,DATE(Jahr,1,1),"")</f>
        <v>46388</v>
      </c>
      <c r="C3" s="28">
        <f>IF(MONTH(DATE(Jahr,1,2))=1,DATE(Jahr,1,2),"")</f>
        <v>46389</v>
      </c>
      <c r="D3" s="28">
        <f>IF(MONTH(DATE(Jahr,1,3))=1,DATE(Jahr,1,3),"")</f>
        <v>46390</v>
      </c>
      <c r="E3" s="28">
        <f>IF(MONTH(DATE(Jahr,1,4))=1,DATE(Jahr,1,4),"")</f>
        <v>46391</v>
      </c>
      <c r="F3" s="28">
        <f>IF(MONTH(DATE(Jahr,1,5))=1,DATE(Jahr,1,5),"")</f>
        <v>46392</v>
      </c>
      <c r="G3" s="28">
        <f>IF(MONTH(DATE(Jahr,1,6))=1,DATE(Jahr,1,6),"")</f>
        <v>46393</v>
      </c>
      <c r="H3" s="28">
        <f>IF(MONTH(DATE(Jahr,1,7))=1,DATE(Jahr,1,7),"")</f>
        <v>46394</v>
      </c>
      <c r="I3" s="28">
        <f>IF(MONTH(DATE(Jahr,1,8))=1,DATE(Jahr,1,8),"")</f>
        <v>46395</v>
      </c>
      <c r="J3" s="28">
        <f>IF(MONTH(DATE(Jahr,1,9))=1,DATE(Jahr,1,9),"")</f>
        <v>46396</v>
      </c>
      <c r="K3" s="28">
        <f>IF(MONTH(DATE(Jahr,1,10))=1,DATE(Jahr,1,10),"")</f>
        <v>46397</v>
      </c>
      <c r="L3" s="28">
        <f>IF(MONTH(DATE(Jahr,1,11))=1,DATE(Jahr,1,11),"")</f>
        <v>46398</v>
      </c>
      <c r="M3" s="28">
        <f>IF(MONTH(DATE(Jahr,1,12))=1,DATE(Jahr,1,12),"")</f>
        <v>46399</v>
      </c>
      <c r="N3" s="28">
        <f>IF(MONTH(DATE(Jahr,1,13))=1,DATE(Jahr,1,13),"")</f>
        <v>46400</v>
      </c>
      <c r="O3" s="28">
        <f>IF(MONTH(DATE(Jahr,1,14))=1,DATE(Jahr,1,14),"")</f>
        <v>46401</v>
      </c>
      <c r="P3" s="28">
        <f>IF(MONTH(DATE(Jahr,1,15))=1,DATE(Jahr,1,15),"")</f>
        <v>46402</v>
      </c>
      <c r="Q3" s="28">
        <f>IF(MONTH(DATE(Jahr,1,16))=1,DATE(Jahr,1,16),"")</f>
        <v>46403</v>
      </c>
      <c r="R3" s="28">
        <f>IF(MONTH(DATE(Jahr,1,17))=1,DATE(Jahr,1,17),"")</f>
        <v>46404</v>
      </c>
      <c r="S3" s="28">
        <f>IF(MONTH(DATE(Jahr,1,18))=1,DATE(Jahr,1,18),"")</f>
        <v>46405</v>
      </c>
      <c r="T3" s="28">
        <f>IF(MONTH(DATE(Jahr,1,19))=1,DATE(Jahr,1,19),"")</f>
        <v>46406</v>
      </c>
      <c r="U3" s="28">
        <f>IF(MONTH(DATE(Jahr,1,20))=1,DATE(Jahr,1,20),"")</f>
        <v>46407</v>
      </c>
      <c r="V3" s="28">
        <f>IF(MONTH(DATE(Jahr,1,21))=1,DATE(Jahr,1,21),"")</f>
        <v>46408</v>
      </c>
      <c r="W3" s="28">
        <f>IF(MONTH(DATE(Jahr,1,22))=1,DATE(Jahr,1,22),"")</f>
        <v>46409</v>
      </c>
      <c r="X3" s="28">
        <f>IF(MONTH(DATE(Jahr,1,23))=1,DATE(Jahr,1,23),"")</f>
        <v>46410</v>
      </c>
      <c r="Y3" s="28">
        <f>IF(MONTH(DATE(Jahr,1,24))=1,DATE(Jahr,1,24),"")</f>
        <v>46411</v>
      </c>
      <c r="Z3" s="28">
        <f>IF(MONTH(DATE(Jahr,1,25))=1,DATE(Jahr,1,25),"")</f>
        <v>46412</v>
      </c>
      <c r="AA3" s="28">
        <f>IF(MONTH(DATE(Jahr,1,26))=1,DATE(Jahr,1,26),"")</f>
        <v>46413</v>
      </c>
      <c r="AB3" s="28">
        <f>IF(MONTH(DATE(Jahr,1,27))=1,DATE(Jahr,1,27),"")</f>
        <v>46414</v>
      </c>
      <c r="AC3" s="28">
        <f>IF(MONTH(DATE(Jahr,1,28))=1,DATE(Jahr,1,28),"")</f>
        <v>46415</v>
      </c>
      <c r="AD3" s="28">
        <f>IF(MONTH(DATE(Jahr,1,29))=1,DATE(Jahr,1,29),"")</f>
        <v>46416</v>
      </c>
      <c r="AE3" s="28">
        <f>IF(MONTH(DATE(Jahr,1,30))=1,DATE(Jahr,1,30),"")</f>
        <v>46417</v>
      </c>
      <c r="AF3" s="28">
        <f>IF(MONTH(DATE(Jahr,1,31))=1,DATE(Jahr,1,31),"")</f>
        <v>46418</v>
      </c>
    </row>
    <row r="4" spans="1:36" x14ac:dyDescent="0.25">
      <c r="A4" s="29" t="s">
        <v>38</v>
      </c>
      <c r="B4" s="30">
        <f t="shared" ref="B4:AF4" si="1">B3</f>
        <v>46388</v>
      </c>
      <c r="C4" s="30">
        <f t="shared" si="1"/>
        <v>46389</v>
      </c>
      <c r="D4" s="30">
        <f t="shared" si="1"/>
        <v>46390</v>
      </c>
      <c r="E4" s="30">
        <f t="shared" si="1"/>
        <v>46391</v>
      </c>
      <c r="F4" s="30">
        <f t="shared" si="1"/>
        <v>46392</v>
      </c>
      <c r="G4" s="30">
        <f t="shared" si="1"/>
        <v>46393</v>
      </c>
      <c r="H4" s="30">
        <f t="shared" si="1"/>
        <v>46394</v>
      </c>
      <c r="I4" s="30">
        <f t="shared" si="1"/>
        <v>46395</v>
      </c>
      <c r="J4" s="30">
        <f t="shared" si="1"/>
        <v>46396</v>
      </c>
      <c r="K4" s="30">
        <f t="shared" si="1"/>
        <v>46397</v>
      </c>
      <c r="L4" s="30">
        <f t="shared" si="1"/>
        <v>46398</v>
      </c>
      <c r="M4" s="30">
        <f t="shared" si="1"/>
        <v>46399</v>
      </c>
      <c r="N4" s="30">
        <f t="shared" si="1"/>
        <v>46400</v>
      </c>
      <c r="O4" s="30">
        <f t="shared" si="1"/>
        <v>46401</v>
      </c>
      <c r="P4" s="30">
        <f t="shared" si="1"/>
        <v>46402</v>
      </c>
      <c r="Q4" s="30">
        <f t="shared" si="1"/>
        <v>46403</v>
      </c>
      <c r="R4" s="30">
        <f t="shared" si="1"/>
        <v>46404</v>
      </c>
      <c r="S4" s="30">
        <f t="shared" si="1"/>
        <v>46405</v>
      </c>
      <c r="T4" s="30">
        <f t="shared" si="1"/>
        <v>46406</v>
      </c>
      <c r="U4" s="30">
        <f t="shared" si="1"/>
        <v>46407</v>
      </c>
      <c r="V4" s="30">
        <f t="shared" si="1"/>
        <v>46408</v>
      </c>
      <c r="W4" s="30">
        <f t="shared" si="1"/>
        <v>46409</v>
      </c>
      <c r="X4" s="30">
        <f t="shared" si="1"/>
        <v>46410</v>
      </c>
      <c r="Y4" s="30">
        <f t="shared" si="1"/>
        <v>46411</v>
      </c>
      <c r="Z4" s="30">
        <f t="shared" si="1"/>
        <v>46412</v>
      </c>
      <c r="AA4" s="30">
        <f t="shared" si="1"/>
        <v>46413</v>
      </c>
      <c r="AB4" s="30">
        <f t="shared" si="1"/>
        <v>46414</v>
      </c>
      <c r="AC4" s="30">
        <f t="shared" si="1"/>
        <v>46415</v>
      </c>
      <c r="AD4" s="30">
        <f t="shared" si="1"/>
        <v>46416</v>
      </c>
      <c r="AE4" s="30">
        <f t="shared" si="1"/>
        <v>46417</v>
      </c>
      <c r="AF4" s="30">
        <f t="shared" si="1"/>
        <v>46418</v>
      </c>
      <c r="AH4" s="31" t="s">
        <v>56</v>
      </c>
      <c r="AI4" s="31" t="s">
        <v>57</v>
      </c>
      <c r="AJ4" s="31" t="s">
        <v>58</v>
      </c>
    </row>
    <row r="5" spans="1:36" x14ac:dyDescent="0.25">
      <c r="A5" s="32" t="str">
        <f>IF(Mitarbeitende!A5="","",Mitarbeitende!A5)</f>
        <v>Beispiel: Anna Muster</v>
      </c>
      <c r="B5" s="33"/>
      <c r="C5" s="33" t="s">
        <v>9</v>
      </c>
      <c r="D5" s="33"/>
      <c r="E5" s="33" t="s">
        <v>9</v>
      </c>
      <c r="F5" s="33" t="s">
        <v>9</v>
      </c>
      <c r="G5" s="33" t="s">
        <v>9</v>
      </c>
      <c r="H5" s="33" t="s">
        <v>9</v>
      </c>
      <c r="I5" s="33" t="s">
        <v>9</v>
      </c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 t="s">
        <v>13</v>
      </c>
      <c r="AA5" s="33"/>
      <c r="AB5" s="33"/>
      <c r="AC5" s="33"/>
      <c r="AD5" s="33"/>
      <c r="AE5" s="33"/>
      <c r="AF5" s="33"/>
      <c r="AH5" s="34">
        <f t="shared" ref="AH5:AH34" si="2">SUMPRODUCT((B5:AF5="U")*$B$2:$AF$2)+0.5*SUMPRODUCT((B5:AF5="H")*$B$2:$AF$2)</f>
        <v>5</v>
      </c>
      <c r="AI5" s="35">
        <f t="shared" ref="AI5:AI34" si="3">SUMPRODUCT((B5:AF5="K")*$B$2:$AF$2)</f>
        <v>1</v>
      </c>
      <c r="AJ5" s="35">
        <f t="shared" ref="AJ5:AJ34" si="4">SUMPRODUCT((B5:AF5="S")*$B$2:$AF$2)</f>
        <v>0</v>
      </c>
    </row>
    <row r="6" spans="1:36" x14ac:dyDescent="0.25">
      <c r="A6" s="32" t="str">
        <f>IF(Mitarbeitende!A6="","",Mitarbeitende!A6)</f>
        <v>Beispiel: Ben Beispiel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 t="s">
        <v>11</v>
      </c>
      <c r="M6" s="33"/>
      <c r="N6" s="33"/>
      <c r="O6" s="33"/>
      <c r="P6" s="33"/>
      <c r="Q6" s="33"/>
      <c r="R6" s="33"/>
      <c r="S6" s="33"/>
      <c r="T6" s="33" t="s">
        <v>15</v>
      </c>
      <c r="U6" s="33" t="s">
        <v>15</v>
      </c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H6" s="34">
        <f t="shared" si="2"/>
        <v>0.5</v>
      </c>
      <c r="AI6" s="35">
        <f t="shared" si="3"/>
        <v>0</v>
      </c>
      <c r="AJ6" s="35">
        <f t="shared" si="4"/>
        <v>2</v>
      </c>
    </row>
    <row r="7" spans="1:36" x14ac:dyDescent="0.25">
      <c r="A7" s="32" t="str">
        <f>IF(Mitarbeitende!A7="","",Mitarbeitende!A7)</f>
        <v/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H7" s="34">
        <f t="shared" si="2"/>
        <v>0</v>
      </c>
      <c r="AI7" s="35">
        <f t="shared" si="3"/>
        <v>0</v>
      </c>
      <c r="AJ7" s="35">
        <f t="shared" si="4"/>
        <v>0</v>
      </c>
    </row>
    <row r="8" spans="1:36" x14ac:dyDescent="0.25">
      <c r="A8" s="32" t="str">
        <f>IF(Mitarbeitende!A8="","",Mitarbeitende!A8)</f>
        <v/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H8" s="34">
        <f t="shared" si="2"/>
        <v>0</v>
      </c>
      <c r="AI8" s="35">
        <f t="shared" si="3"/>
        <v>0</v>
      </c>
      <c r="AJ8" s="35">
        <f t="shared" si="4"/>
        <v>0</v>
      </c>
    </row>
    <row r="9" spans="1:36" x14ac:dyDescent="0.25">
      <c r="A9" s="32" t="str">
        <f>IF(Mitarbeitende!A9="","",Mitarbeitende!A9)</f>
        <v/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H9" s="34">
        <f t="shared" si="2"/>
        <v>0</v>
      </c>
      <c r="AI9" s="35">
        <f t="shared" si="3"/>
        <v>0</v>
      </c>
      <c r="AJ9" s="35">
        <f t="shared" si="4"/>
        <v>0</v>
      </c>
    </row>
    <row r="10" spans="1:36" x14ac:dyDescent="0.25">
      <c r="A10" s="32" t="str">
        <f>IF(Mitarbeitende!A10="","",Mitarbeitende!A10)</f>
        <v/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H10" s="34">
        <f t="shared" si="2"/>
        <v>0</v>
      </c>
      <c r="AI10" s="35">
        <f t="shared" si="3"/>
        <v>0</v>
      </c>
      <c r="AJ10" s="35">
        <f t="shared" si="4"/>
        <v>0</v>
      </c>
    </row>
    <row r="11" spans="1:36" x14ac:dyDescent="0.25">
      <c r="A11" s="32" t="str">
        <f>IF(Mitarbeitende!A11="","",Mitarbeitende!A11)</f>
        <v/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H11" s="34">
        <f t="shared" si="2"/>
        <v>0</v>
      </c>
      <c r="AI11" s="35">
        <f t="shared" si="3"/>
        <v>0</v>
      </c>
      <c r="AJ11" s="35">
        <f t="shared" si="4"/>
        <v>0</v>
      </c>
    </row>
    <row r="12" spans="1:36" x14ac:dyDescent="0.25">
      <c r="A12" s="32" t="str">
        <f>IF(Mitarbeitende!A12="","",Mitarbeitende!A12)</f>
        <v/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H12" s="34">
        <f t="shared" si="2"/>
        <v>0</v>
      </c>
      <c r="AI12" s="35">
        <f t="shared" si="3"/>
        <v>0</v>
      </c>
      <c r="AJ12" s="35">
        <f t="shared" si="4"/>
        <v>0</v>
      </c>
    </row>
    <row r="13" spans="1:36" x14ac:dyDescent="0.25">
      <c r="A13" s="32" t="str">
        <f>IF(Mitarbeitende!A13="","",Mitarbeitende!A13)</f>
        <v/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H13" s="34">
        <f t="shared" si="2"/>
        <v>0</v>
      </c>
      <c r="AI13" s="35">
        <f t="shared" si="3"/>
        <v>0</v>
      </c>
      <c r="AJ13" s="35">
        <f t="shared" si="4"/>
        <v>0</v>
      </c>
    </row>
    <row r="14" spans="1:36" x14ac:dyDescent="0.25">
      <c r="A14" s="32" t="str">
        <f>IF(Mitarbeitende!A14="","",Mitarbeitende!A14)</f>
        <v/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H14" s="34">
        <f t="shared" si="2"/>
        <v>0</v>
      </c>
      <c r="AI14" s="35">
        <f t="shared" si="3"/>
        <v>0</v>
      </c>
      <c r="AJ14" s="35">
        <f t="shared" si="4"/>
        <v>0</v>
      </c>
    </row>
    <row r="15" spans="1:36" x14ac:dyDescent="0.25">
      <c r="A15" s="32" t="str">
        <f>IF(Mitarbeitende!A15="","",Mitarbeitende!A15)</f>
        <v/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H15" s="34">
        <f t="shared" si="2"/>
        <v>0</v>
      </c>
      <c r="AI15" s="35">
        <f t="shared" si="3"/>
        <v>0</v>
      </c>
      <c r="AJ15" s="35">
        <f t="shared" si="4"/>
        <v>0</v>
      </c>
    </row>
    <row r="16" spans="1:36" x14ac:dyDescent="0.25">
      <c r="A16" s="32" t="str">
        <f>IF(Mitarbeitende!A16="","",Mitarbeitende!A16)</f>
        <v/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H16" s="34">
        <f t="shared" si="2"/>
        <v>0</v>
      </c>
      <c r="AI16" s="35">
        <f t="shared" si="3"/>
        <v>0</v>
      </c>
      <c r="AJ16" s="35">
        <f t="shared" si="4"/>
        <v>0</v>
      </c>
    </row>
    <row r="17" spans="1:36" x14ac:dyDescent="0.25">
      <c r="A17" s="32" t="str">
        <f>IF(Mitarbeitende!A17="","",Mitarbeitende!A17)</f>
        <v/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H17" s="34">
        <f t="shared" si="2"/>
        <v>0</v>
      </c>
      <c r="AI17" s="35">
        <f t="shared" si="3"/>
        <v>0</v>
      </c>
      <c r="AJ17" s="35">
        <f t="shared" si="4"/>
        <v>0</v>
      </c>
    </row>
    <row r="18" spans="1:36" x14ac:dyDescent="0.25">
      <c r="A18" s="32" t="str">
        <f>IF(Mitarbeitende!A18="","",Mitarbeitende!A18)</f>
        <v/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H18" s="34">
        <f t="shared" si="2"/>
        <v>0</v>
      </c>
      <c r="AI18" s="35">
        <f t="shared" si="3"/>
        <v>0</v>
      </c>
      <c r="AJ18" s="35">
        <f t="shared" si="4"/>
        <v>0</v>
      </c>
    </row>
    <row r="19" spans="1:36" x14ac:dyDescent="0.25">
      <c r="A19" s="32" t="str">
        <f>IF(Mitarbeitende!A19="","",Mitarbeitende!A19)</f>
        <v/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H19" s="34">
        <f t="shared" si="2"/>
        <v>0</v>
      </c>
      <c r="AI19" s="35">
        <f t="shared" si="3"/>
        <v>0</v>
      </c>
      <c r="AJ19" s="35">
        <f t="shared" si="4"/>
        <v>0</v>
      </c>
    </row>
    <row r="20" spans="1:36" x14ac:dyDescent="0.25">
      <c r="A20" s="32" t="str">
        <f>IF(Mitarbeitende!A20="","",Mitarbeitende!A20)</f>
        <v/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H20" s="34">
        <f t="shared" si="2"/>
        <v>0</v>
      </c>
      <c r="AI20" s="35">
        <f t="shared" si="3"/>
        <v>0</v>
      </c>
      <c r="AJ20" s="35">
        <f t="shared" si="4"/>
        <v>0</v>
      </c>
    </row>
    <row r="21" spans="1:36" x14ac:dyDescent="0.25">
      <c r="A21" s="32" t="str">
        <f>IF(Mitarbeitende!A21="","",Mitarbeitende!A21)</f>
        <v/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H21" s="34">
        <f t="shared" si="2"/>
        <v>0</v>
      </c>
      <c r="AI21" s="35">
        <f t="shared" si="3"/>
        <v>0</v>
      </c>
      <c r="AJ21" s="35">
        <f t="shared" si="4"/>
        <v>0</v>
      </c>
    </row>
    <row r="22" spans="1:36" x14ac:dyDescent="0.25">
      <c r="A22" s="32" t="str">
        <f>IF(Mitarbeitende!A22="","",Mitarbeitende!A22)</f>
        <v/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H22" s="34">
        <f t="shared" si="2"/>
        <v>0</v>
      </c>
      <c r="AI22" s="35">
        <f t="shared" si="3"/>
        <v>0</v>
      </c>
      <c r="AJ22" s="35">
        <f t="shared" si="4"/>
        <v>0</v>
      </c>
    </row>
    <row r="23" spans="1:36" x14ac:dyDescent="0.25">
      <c r="A23" s="32" t="str">
        <f>IF(Mitarbeitende!A23="","",Mitarbeitende!A23)</f>
        <v/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H23" s="34">
        <f t="shared" si="2"/>
        <v>0</v>
      </c>
      <c r="AI23" s="35">
        <f t="shared" si="3"/>
        <v>0</v>
      </c>
      <c r="AJ23" s="35">
        <f t="shared" si="4"/>
        <v>0</v>
      </c>
    </row>
    <row r="24" spans="1:36" x14ac:dyDescent="0.25">
      <c r="A24" s="32" t="str">
        <f>IF(Mitarbeitende!A24="","",Mitarbeitende!A24)</f>
        <v/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H24" s="34">
        <f t="shared" si="2"/>
        <v>0</v>
      </c>
      <c r="AI24" s="35">
        <f t="shared" si="3"/>
        <v>0</v>
      </c>
      <c r="AJ24" s="35">
        <f t="shared" si="4"/>
        <v>0</v>
      </c>
    </row>
    <row r="25" spans="1:36" x14ac:dyDescent="0.25">
      <c r="A25" s="32" t="str">
        <f>IF(Mitarbeitende!A25="","",Mitarbeitende!A25)</f>
        <v/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H25" s="34">
        <f t="shared" si="2"/>
        <v>0</v>
      </c>
      <c r="AI25" s="35">
        <f t="shared" si="3"/>
        <v>0</v>
      </c>
      <c r="AJ25" s="35">
        <f t="shared" si="4"/>
        <v>0</v>
      </c>
    </row>
    <row r="26" spans="1:36" x14ac:dyDescent="0.25">
      <c r="A26" s="32" t="str">
        <f>IF(Mitarbeitende!A26="","",Mitarbeitende!A26)</f>
        <v/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H26" s="34">
        <f t="shared" si="2"/>
        <v>0</v>
      </c>
      <c r="AI26" s="35">
        <f t="shared" si="3"/>
        <v>0</v>
      </c>
      <c r="AJ26" s="35">
        <f t="shared" si="4"/>
        <v>0</v>
      </c>
    </row>
    <row r="27" spans="1:36" x14ac:dyDescent="0.25">
      <c r="A27" s="32" t="str">
        <f>IF(Mitarbeitende!A27="","",Mitarbeitende!A27)</f>
        <v/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H27" s="34">
        <f t="shared" si="2"/>
        <v>0</v>
      </c>
      <c r="AI27" s="35">
        <f t="shared" si="3"/>
        <v>0</v>
      </c>
      <c r="AJ27" s="35">
        <f t="shared" si="4"/>
        <v>0</v>
      </c>
    </row>
    <row r="28" spans="1:36" x14ac:dyDescent="0.25">
      <c r="A28" s="32" t="str">
        <f>IF(Mitarbeitende!A28="","",Mitarbeitende!A28)</f>
        <v/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H28" s="34">
        <f t="shared" si="2"/>
        <v>0</v>
      </c>
      <c r="AI28" s="35">
        <f t="shared" si="3"/>
        <v>0</v>
      </c>
      <c r="AJ28" s="35">
        <f t="shared" si="4"/>
        <v>0</v>
      </c>
    </row>
    <row r="29" spans="1:36" x14ac:dyDescent="0.25">
      <c r="A29" s="32" t="str">
        <f>IF(Mitarbeitende!A29="","",Mitarbeitende!A29)</f>
        <v/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H29" s="34">
        <f t="shared" si="2"/>
        <v>0</v>
      </c>
      <c r="AI29" s="35">
        <f t="shared" si="3"/>
        <v>0</v>
      </c>
      <c r="AJ29" s="35">
        <f t="shared" si="4"/>
        <v>0</v>
      </c>
    </row>
    <row r="30" spans="1:36" x14ac:dyDescent="0.25">
      <c r="A30" s="32" t="str">
        <f>IF(Mitarbeitende!A30="","",Mitarbeitende!A30)</f>
        <v/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H30" s="34">
        <f t="shared" si="2"/>
        <v>0</v>
      </c>
      <c r="AI30" s="35">
        <f t="shared" si="3"/>
        <v>0</v>
      </c>
      <c r="AJ30" s="35">
        <f t="shared" si="4"/>
        <v>0</v>
      </c>
    </row>
    <row r="31" spans="1:36" x14ac:dyDescent="0.25">
      <c r="A31" s="32" t="str">
        <f>IF(Mitarbeitende!A31="","",Mitarbeitende!A31)</f>
        <v/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H31" s="34">
        <f t="shared" si="2"/>
        <v>0</v>
      </c>
      <c r="AI31" s="35">
        <f t="shared" si="3"/>
        <v>0</v>
      </c>
      <c r="AJ31" s="35">
        <f t="shared" si="4"/>
        <v>0</v>
      </c>
    </row>
    <row r="32" spans="1:36" x14ac:dyDescent="0.25">
      <c r="A32" s="32" t="str">
        <f>IF(Mitarbeitende!A32="","",Mitarbeitende!A32)</f>
        <v/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H32" s="34">
        <f t="shared" si="2"/>
        <v>0</v>
      </c>
      <c r="AI32" s="35">
        <f t="shared" si="3"/>
        <v>0</v>
      </c>
      <c r="AJ32" s="35">
        <f t="shared" si="4"/>
        <v>0</v>
      </c>
    </row>
    <row r="33" spans="1:36" x14ac:dyDescent="0.25">
      <c r="A33" s="32" t="str">
        <f>IF(Mitarbeitende!A33="","",Mitarbeitende!A33)</f>
        <v/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H33" s="34">
        <f t="shared" si="2"/>
        <v>0</v>
      </c>
      <c r="AI33" s="35">
        <f t="shared" si="3"/>
        <v>0</v>
      </c>
      <c r="AJ33" s="35">
        <f t="shared" si="4"/>
        <v>0</v>
      </c>
    </row>
    <row r="34" spans="1:36" x14ac:dyDescent="0.25">
      <c r="A34" s="32" t="str">
        <f>IF(Mitarbeitende!A34="","",Mitarbeitende!A34)</f>
        <v/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H34" s="34">
        <f t="shared" si="2"/>
        <v>0</v>
      </c>
      <c r="AI34" s="35">
        <f t="shared" si="3"/>
        <v>0</v>
      </c>
      <c r="AJ34" s="35">
        <f t="shared" si="4"/>
        <v>0</v>
      </c>
    </row>
    <row r="36" spans="1:36" x14ac:dyDescent="0.25">
      <c r="A36" s="17" t="str">
        <f>"Arbeitstage im Monat: "&amp;SUM(B2:AF2)</f>
        <v>Arbeitstage im Monat: 20</v>
      </c>
    </row>
    <row r="37" spans="1:36" x14ac:dyDescent="0.25">
      <c r="A37" s="17" t="s">
        <v>59</v>
      </c>
    </row>
  </sheetData>
  <conditionalFormatting sqref="B3:AF34">
    <cfRule type="expression" dxfId="108" priority="7">
      <formula>B$3=""</formula>
    </cfRule>
    <cfRule type="expression" dxfId="107" priority="8">
      <formula>AND(B$3&lt;&gt;"",COUNTIF(Feiertage_aktiv,B$3)&gt;0)</formula>
    </cfRule>
    <cfRule type="expression" dxfId="106" priority="9">
      <formula>AND(B$3&lt;&gt;"",WEEKDAY(B$3,2)&gt;5)</formula>
    </cfRule>
  </conditionalFormatting>
  <conditionalFormatting sqref="B5:AF34">
    <cfRule type="expression" dxfId="105" priority="1" stopIfTrue="1">
      <formula>UPPER(B5)="U"</formula>
    </cfRule>
    <cfRule type="expression" dxfId="104" priority="2" stopIfTrue="1">
      <formula>UPPER(B5)="H"</formula>
    </cfRule>
    <cfRule type="expression" dxfId="103" priority="3" stopIfTrue="1">
      <formula>UPPER(B5)="K"</formula>
    </cfRule>
    <cfRule type="expression" dxfId="102" priority="4" stopIfTrue="1">
      <formula>UPPER(B5)="S"</formula>
    </cfRule>
    <cfRule type="expression" dxfId="101" priority="5" stopIfTrue="1">
      <formula>UPPER(B5)="Z"</formula>
    </cfRule>
    <cfRule type="expression" dxfId="100" priority="6" stopIfTrue="1">
      <formula>UPPER(B5)="F"</formula>
    </cfRule>
  </conditionalFormatting>
  <dataValidations count="1">
    <dataValidation type="list" allowBlank="1" showErrorMessage="1" errorTitle="Kürzel" error="Bitte U, H, K, S, Z oder F eintragen." sqref="B5:AF34" xr:uid="{00000000-0002-0000-0200-000000000000}">
      <formula1>"U,H,K,S,Z,F"</formula1>
    </dataValidation>
  </dataValidations>
  <pageMargins left="0.75" right="0.75" top="1" bottom="1" header="0.5" footer="0.5"/>
  <pageSetup fitToHeight="0" orientation="landscape"/>
  <headerFooter>
    <oddFooter>&amp;C&amp;8 &amp;K686E70Vorlage von seminaron.de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37"/>
  <sheetViews>
    <sheetView showGridLines="0" zoomScale="9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4" customWidth="1"/>
    <col min="2" max="32" width="4.140625" customWidth="1"/>
    <col min="33" max="33" width="1.42578125" customWidth="1"/>
    <col min="34" max="36" width="8.42578125" customWidth="1"/>
  </cols>
  <sheetData>
    <row r="1" spans="1:36" ht="23.25" x14ac:dyDescent="0.35">
      <c r="A1" s="18" t="str">
        <f>"Februar "&amp;Jahr&amp;IF(Firma="",""," · "&amp;Firma)</f>
        <v>Februar 2027</v>
      </c>
    </row>
    <row r="2" spans="1:36" hidden="1" x14ac:dyDescent="0.25">
      <c r="A2" s="26" t="s">
        <v>55</v>
      </c>
      <c r="B2" s="27">
        <f t="shared" ref="B2:AF2" si="0">IF(B3="",0,IF(WEEKDAY(B3,2)&gt;5,0,IF(COUNTIF(Feiertage_aktiv,B3)&gt;0,0,1)))</f>
        <v>1</v>
      </c>
      <c r="C2" s="27">
        <f t="shared" si="0"/>
        <v>1</v>
      </c>
      <c r="D2" s="27">
        <f t="shared" si="0"/>
        <v>1</v>
      </c>
      <c r="E2" s="27">
        <f t="shared" si="0"/>
        <v>1</v>
      </c>
      <c r="F2" s="27">
        <f t="shared" si="0"/>
        <v>1</v>
      </c>
      <c r="G2" s="27">
        <f t="shared" si="0"/>
        <v>0</v>
      </c>
      <c r="H2" s="27">
        <f t="shared" si="0"/>
        <v>0</v>
      </c>
      <c r="I2" s="27">
        <f t="shared" si="0"/>
        <v>1</v>
      </c>
      <c r="J2" s="27">
        <f t="shared" si="0"/>
        <v>1</v>
      </c>
      <c r="K2" s="27">
        <f t="shared" si="0"/>
        <v>1</v>
      </c>
      <c r="L2" s="27">
        <f t="shared" si="0"/>
        <v>1</v>
      </c>
      <c r="M2" s="27">
        <f t="shared" si="0"/>
        <v>1</v>
      </c>
      <c r="N2" s="27">
        <f t="shared" si="0"/>
        <v>0</v>
      </c>
      <c r="O2" s="27">
        <f t="shared" si="0"/>
        <v>0</v>
      </c>
      <c r="P2" s="27">
        <f t="shared" si="0"/>
        <v>1</v>
      </c>
      <c r="Q2" s="27">
        <f t="shared" si="0"/>
        <v>1</v>
      </c>
      <c r="R2" s="27">
        <f t="shared" si="0"/>
        <v>1</v>
      </c>
      <c r="S2" s="27">
        <f t="shared" si="0"/>
        <v>1</v>
      </c>
      <c r="T2" s="27">
        <f t="shared" si="0"/>
        <v>1</v>
      </c>
      <c r="U2" s="27">
        <f t="shared" si="0"/>
        <v>0</v>
      </c>
      <c r="V2" s="27">
        <f t="shared" si="0"/>
        <v>0</v>
      </c>
      <c r="W2" s="27">
        <f t="shared" si="0"/>
        <v>1</v>
      </c>
      <c r="X2" s="27">
        <f t="shared" si="0"/>
        <v>1</v>
      </c>
      <c r="Y2" s="27">
        <f t="shared" si="0"/>
        <v>1</v>
      </c>
      <c r="Z2" s="27">
        <f t="shared" si="0"/>
        <v>1</v>
      </c>
      <c r="AA2" s="27">
        <f t="shared" si="0"/>
        <v>1</v>
      </c>
      <c r="AB2" s="27">
        <f t="shared" si="0"/>
        <v>0</v>
      </c>
      <c r="AC2" s="27">
        <f t="shared" si="0"/>
        <v>0</v>
      </c>
      <c r="AD2" s="27">
        <f t="shared" si="0"/>
        <v>0</v>
      </c>
      <c r="AE2" s="27">
        <f t="shared" si="0"/>
        <v>0</v>
      </c>
      <c r="AF2" s="27">
        <f t="shared" si="0"/>
        <v>0</v>
      </c>
    </row>
    <row r="3" spans="1:36" x14ac:dyDescent="0.25">
      <c r="A3" s="17" t="str">
        <f>"Bundesland: "&amp;Bundesland</f>
        <v>Bundesland: Nordrhein-Westfalen</v>
      </c>
      <c r="B3" s="28">
        <f>IF(MONTH(DATE(Jahr,2,1))=2,DATE(Jahr,2,1),"")</f>
        <v>46419</v>
      </c>
      <c r="C3" s="28">
        <f>IF(MONTH(DATE(Jahr,2,2))=2,DATE(Jahr,2,2),"")</f>
        <v>46420</v>
      </c>
      <c r="D3" s="28">
        <f>IF(MONTH(DATE(Jahr,2,3))=2,DATE(Jahr,2,3),"")</f>
        <v>46421</v>
      </c>
      <c r="E3" s="28">
        <f>IF(MONTH(DATE(Jahr,2,4))=2,DATE(Jahr,2,4),"")</f>
        <v>46422</v>
      </c>
      <c r="F3" s="28">
        <f>IF(MONTH(DATE(Jahr,2,5))=2,DATE(Jahr,2,5),"")</f>
        <v>46423</v>
      </c>
      <c r="G3" s="28">
        <f>IF(MONTH(DATE(Jahr,2,6))=2,DATE(Jahr,2,6),"")</f>
        <v>46424</v>
      </c>
      <c r="H3" s="28">
        <f>IF(MONTH(DATE(Jahr,2,7))=2,DATE(Jahr,2,7),"")</f>
        <v>46425</v>
      </c>
      <c r="I3" s="28">
        <f>IF(MONTH(DATE(Jahr,2,8))=2,DATE(Jahr,2,8),"")</f>
        <v>46426</v>
      </c>
      <c r="J3" s="28">
        <f>IF(MONTH(DATE(Jahr,2,9))=2,DATE(Jahr,2,9),"")</f>
        <v>46427</v>
      </c>
      <c r="K3" s="28">
        <f>IF(MONTH(DATE(Jahr,2,10))=2,DATE(Jahr,2,10),"")</f>
        <v>46428</v>
      </c>
      <c r="L3" s="28">
        <f>IF(MONTH(DATE(Jahr,2,11))=2,DATE(Jahr,2,11),"")</f>
        <v>46429</v>
      </c>
      <c r="M3" s="28">
        <f>IF(MONTH(DATE(Jahr,2,12))=2,DATE(Jahr,2,12),"")</f>
        <v>46430</v>
      </c>
      <c r="N3" s="28">
        <f>IF(MONTH(DATE(Jahr,2,13))=2,DATE(Jahr,2,13),"")</f>
        <v>46431</v>
      </c>
      <c r="O3" s="28">
        <f>IF(MONTH(DATE(Jahr,2,14))=2,DATE(Jahr,2,14),"")</f>
        <v>46432</v>
      </c>
      <c r="P3" s="28">
        <f>IF(MONTH(DATE(Jahr,2,15))=2,DATE(Jahr,2,15),"")</f>
        <v>46433</v>
      </c>
      <c r="Q3" s="28">
        <f>IF(MONTH(DATE(Jahr,2,16))=2,DATE(Jahr,2,16),"")</f>
        <v>46434</v>
      </c>
      <c r="R3" s="28">
        <f>IF(MONTH(DATE(Jahr,2,17))=2,DATE(Jahr,2,17),"")</f>
        <v>46435</v>
      </c>
      <c r="S3" s="28">
        <f>IF(MONTH(DATE(Jahr,2,18))=2,DATE(Jahr,2,18),"")</f>
        <v>46436</v>
      </c>
      <c r="T3" s="28">
        <f>IF(MONTH(DATE(Jahr,2,19))=2,DATE(Jahr,2,19),"")</f>
        <v>46437</v>
      </c>
      <c r="U3" s="28">
        <f>IF(MONTH(DATE(Jahr,2,20))=2,DATE(Jahr,2,20),"")</f>
        <v>46438</v>
      </c>
      <c r="V3" s="28">
        <f>IF(MONTH(DATE(Jahr,2,21))=2,DATE(Jahr,2,21),"")</f>
        <v>46439</v>
      </c>
      <c r="W3" s="28">
        <f>IF(MONTH(DATE(Jahr,2,22))=2,DATE(Jahr,2,22),"")</f>
        <v>46440</v>
      </c>
      <c r="X3" s="28">
        <f>IF(MONTH(DATE(Jahr,2,23))=2,DATE(Jahr,2,23),"")</f>
        <v>46441</v>
      </c>
      <c r="Y3" s="28">
        <f>IF(MONTH(DATE(Jahr,2,24))=2,DATE(Jahr,2,24),"")</f>
        <v>46442</v>
      </c>
      <c r="Z3" s="28">
        <f>IF(MONTH(DATE(Jahr,2,25))=2,DATE(Jahr,2,25),"")</f>
        <v>46443</v>
      </c>
      <c r="AA3" s="28">
        <f>IF(MONTH(DATE(Jahr,2,26))=2,DATE(Jahr,2,26),"")</f>
        <v>46444</v>
      </c>
      <c r="AB3" s="28">
        <f>IF(MONTH(DATE(Jahr,2,27))=2,DATE(Jahr,2,27),"")</f>
        <v>46445</v>
      </c>
      <c r="AC3" s="28">
        <f>IF(MONTH(DATE(Jahr,2,28))=2,DATE(Jahr,2,28),"")</f>
        <v>46446</v>
      </c>
      <c r="AD3" s="28" t="str">
        <f>IF(MONTH(DATE(Jahr,2,29))=2,DATE(Jahr,2,29),"")</f>
        <v/>
      </c>
      <c r="AE3" s="28" t="str">
        <f>IF(MONTH(DATE(Jahr,2,30))=2,DATE(Jahr,2,30),"")</f>
        <v/>
      </c>
      <c r="AF3" s="28" t="str">
        <f>IF(MONTH(DATE(Jahr,2,31))=2,DATE(Jahr,2,31),"")</f>
        <v/>
      </c>
    </row>
    <row r="4" spans="1:36" x14ac:dyDescent="0.25">
      <c r="A4" s="29" t="s">
        <v>38</v>
      </c>
      <c r="B4" s="30">
        <f t="shared" ref="B4:AF4" si="1">B3</f>
        <v>46419</v>
      </c>
      <c r="C4" s="30">
        <f t="shared" si="1"/>
        <v>46420</v>
      </c>
      <c r="D4" s="30">
        <f t="shared" si="1"/>
        <v>46421</v>
      </c>
      <c r="E4" s="30">
        <f t="shared" si="1"/>
        <v>46422</v>
      </c>
      <c r="F4" s="30">
        <f t="shared" si="1"/>
        <v>46423</v>
      </c>
      <c r="G4" s="30">
        <f t="shared" si="1"/>
        <v>46424</v>
      </c>
      <c r="H4" s="30">
        <f t="shared" si="1"/>
        <v>46425</v>
      </c>
      <c r="I4" s="30">
        <f t="shared" si="1"/>
        <v>46426</v>
      </c>
      <c r="J4" s="30">
        <f t="shared" si="1"/>
        <v>46427</v>
      </c>
      <c r="K4" s="30">
        <f t="shared" si="1"/>
        <v>46428</v>
      </c>
      <c r="L4" s="30">
        <f t="shared" si="1"/>
        <v>46429</v>
      </c>
      <c r="M4" s="30">
        <f t="shared" si="1"/>
        <v>46430</v>
      </c>
      <c r="N4" s="30">
        <f t="shared" si="1"/>
        <v>46431</v>
      </c>
      <c r="O4" s="30">
        <f t="shared" si="1"/>
        <v>46432</v>
      </c>
      <c r="P4" s="30">
        <f t="shared" si="1"/>
        <v>46433</v>
      </c>
      <c r="Q4" s="30">
        <f t="shared" si="1"/>
        <v>46434</v>
      </c>
      <c r="R4" s="30">
        <f t="shared" si="1"/>
        <v>46435</v>
      </c>
      <c r="S4" s="30">
        <f t="shared" si="1"/>
        <v>46436</v>
      </c>
      <c r="T4" s="30">
        <f t="shared" si="1"/>
        <v>46437</v>
      </c>
      <c r="U4" s="30">
        <f t="shared" si="1"/>
        <v>46438</v>
      </c>
      <c r="V4" s="30">
        <f t="shared" si="1"/>
        <v>46439</v>
      </c>
      <c r="W4" s="30">
        <f t="shared" si="1"/>
        <v>46440</v>
      </c>
      <c r="X4" s="30">
        <f t="shared" si="1"/>
        <v>46441</v>
      </c>
      <c r="Y4" s="30">
        <f t="shared" si="1"/>
        <v>46442</v>
      </c>
      <c r="Z4" s="30">
        <f t="shared" si="1"/>
        <v>46443</v>
      </c>
      <c r="AA4" s="30">
        <f t="shared" si="1"/>
        <v>46444</v>
      </c>
      <c r="AB4" s="30">
        <f t="shared" si="1"/>
        <v>46445</v>
      </c>
      <c r="AC4" s="30">
        <f t="shared" si="1"/>
        <v>46446</v>
      </c>
      <c r="AD4" s="30" t="str">
        <f t="shared" si="1"/>
        <v/>
      </c>
      <c r="AE4" s="30" t="str">
        <f t="shared" si="1"/>
        <v/>
      </c>
      <c r="AF4" s="30" t="str">
        <f t="shared" si="1"/>
        <v/>
      </c>
      <c r="AH4" s="31" t="s">
        <v>56</v>
      </c>
      <c r="AI4" s="31" t="s">
        <v>57</v>
      </c>
      <c r="AJ4" s="31" t="s">
        <v>58</v>
      </c>
    </row>
    <row r="5" spans="1:36" x14ac:dyDescent="0.25">
      <c r="A5" s="32" t="str">
        <f>IF(Mitarbeitende!A5="","",Mitarbeitende!A5)</f>
        <v>Beispiel: Anna Muster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H5" s="34">
        <f t="shared" ref="AH5:AH34" si="2">SUMPRODUCT((B5:AF5="U")*$B$2:$AF$2)+0.5*SUMPRODUCT((B5:AF5="H")*$B$2:$AF$2)</f>
        <v>0</v>
      </c>
      <c r="AI5" s="35">
        <f t="shared" ref="AI5:AI34" si="3">SUMPRODUCT((B5:AF5="K")*$B$2:$AF$2)</f>
        <v>0</v>
      </c>
      <c r="AJ5" s="35">
        <f t="shared" ref="AJ5:AJ34" si="4">SUMPRODUCT((B5:AF5="S")*$B$2:$AF$2)</f>
        <v>0</v>
      </c>
    </row>
    <row r="6" spans="1:36" x14ac:dyDescent="0.25">
      <c r="A6" s="32" t="str">
        <f>IF(Mitarbeitende!A6="","",Mitarbeitende!A6)</f>
        <v>Beispiel: Ben Beispiel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H6" s="34">
        <f t="shared" si="2"/>
        <v>0</v>
      </c>
      <c r="AI6" s="35">
        <f t="shared" si="3"/>
        <v>0</v>
      </c>
      <c r="AJ6" s="35">
        <f t="shared" si="4"/>
        <v>0</v>
      </c>
    </row>
    <row r="7" spans="1:36" x14ac:dyDescent="0.25">
      <c r="A7" s="32" t="str">
        <f>IF(Mitarbeitende!A7="","",Mitarbeitende!A7)</f>
        <v/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H7" s="34">
        <f t="shared" si="2"/>
        <v>0</v>
      </c>
      <c r="AI7" s="35">
        <f t="shared" si="3"/>
        <v>0</v>
      </c>
      <c r="AJ7" s="35">
        <f t="shared" si="4"/>
        <v>0</v>
      </c>
    </row>
    <row r="8" spans="1:36" x14ac:dyDescent="0.25">
      <c r="A8" s="32" t="str">
        <f>IF(Mitarbeitende!A8="","",Mitarbeitende!A8)</f>
        <v/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H8" s="34">
        <f t="shared" si="2"/>
        <v>0</v>
      </c>
      <c r="AI8" s="35">
        <f t="shared" si="3"/>
        <v>0</v>
      </c>
      <c r="AJ8" s="35">
        <f t="shared" si="4"/>
        <v>0</v>
      </c>
    </row>
    <row r="9" spans="1:36" x14ac:dyDescent="0.25">
      <c r="A9" s="32" t="str">
        <f>IF(Mitarbeitende!A9="","",Mitarbeitende!A9)</f>
        <v/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H9" s="34">
        <f t="shared" si="2"/>
        <v>0</v>
      </c>
      <c r="AI9" s="35">
        <f t="shared" si="3"/>
        <v>0</v>
      </c>
      <c r="AJ9" s="35">
        <f t="shared" si="4"/>
        <v>0</v>
      </c>
    </row>
    <row r="10" spans="1:36" x14ac:dyDescent="0.25">
      <c r="A10" s="32" t="str">
        <f>IF(Mitarbeitende!A10="","",Mitarbeitende!A10)</f>
        <v/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H10" s="34">
        <f t="shared" si="2"/>
        <v>0</v>
      </c>
      <c r="AI10" s="35">
        <f t="shared" si="3"/>
        <v>0</v>
      </c>
      <c r="AJ10" s="35">
        <f t="shared" si="4"/>
        <v>0</v>
      </c>
    </row>
    <row r="11" spans="1:36" x14ac:dyDescent="0.25">
      <c r="A11" s="32" t="str">
        <f>IF(Mitarbeitende!A11="","",Mitarbeitende!A11)</f>
        <v/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H11" s="34">
        <f t="shared" si="2"/>
        <v>0</v>
      </c>
      <c r="AI11" s="35">
        <f t="shared" si="3"/>
        <v>0</v>
      </c>
      <c r="AJ11" s="35">
        <f t="shared" si="4"/>
        <v>0</v>
      </c>
    </row>
    <row r="12" spans="1:36" x14ac:dyDescent="0.25">
      <c r="A12" s="32" t="str">
        <f>IF(Mitarbeitende!A12="","",Mitarbeitende!A12)</f>
        <v/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H12" s="34">
        <f t="shared" si="2"/>
        <v>0</v>
      </c>
      <c r="AI12" s="35">
        <f t="shared" si="3"/>
        <v>0</v>
      </c>
      <c r="AJ12" s="35">
        <f t="shared" si="4"/>
        <v>0</v>
      </c>
    </row>
    <row r="13" spans="1:36" x14ac:dyDescent="0.25">
      <c r="A13" s="32" t="str">
        <f>IF(Mitarbeitende!A13="","",Mitarbeitende!A13)</f>
        <v/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H13" s="34">
        <f t="shared" si="2"/>
        <v>0</v>
      </c>
      <c r="AI13" s="35">
        <f t="shared" si="3"/>
        <v>0</v>
      </c>
      <c r="AJ13" s="35">
        <f t="shared" si="4"/>
        <v>0</v>
      </c>
    </row>
    <row r="14" spans="1:36" x14ac:dyDescent="0.25">
      <c r="A14" s="32" t="str">
        <f>IF(Mitarbeitende!A14="","",Mitarbeitende!A14)</f>
        <v/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H14" s="34">
        <f t="shared" si="2"/>
        <v>0</v>
      </c>
      <c r="AI14" s="35">
        <f t="shared" si="3"/>
        <v>0</v>
      </c>
      <c r="AJ14" s="35">
        <f t="shared" si="4"/>
        <v>0</v>
      </c>
    </row>
    <row r="15" spans="1:36" x14ac:dyDescent="0.25">
      <c r="A15" s="32" t="str">
        <f>IF(Mitarbeitende!A15="","",Mitarbeitende!A15)</f>
        <v/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H15" s="34">
        <f t="shared" si="2"/>
        <v>0</v>
      </c>
      <c r="AI15" s="35">
        <f t="shared" si="3"/>
        <v>0</v>
      </c>
      <c r="AJ15" s="35">
        <f t="shared" si="4"/>
        <v>0</v>
      </c>
    </row>
    <row r="16" spans="1:36" x14ac:dyDescent="0.25">
      <c r="A16" s="32" t="str">
        <f>IF(Mitarbeitende!A16="","",Mitarbeitende!A16)</f>
        <v/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H16" s="34">
        <f t="shared" si="2"/>
        <v>0</v>
      </c>
      <c r="AI16" s="35">
        <f t="shared" si="3"/>
        <v>0</v>
      </c>
      <c r="AJ16" s="35">
        <f t="shared" si="4"/>
        <v>0</v>
      </c>
    </row>
    <row r="17" spans="1:36" x14ac:dyDescent="0.25">
      <c r="A17" s="32" t="str">
        <f>IF(Mitarbeitende!A17="","",Mitarbeitende!A17)</f>
        <v/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H17" s="34">
        <f t="shared" si="2"/>
        <v>0</v>
      </c>
      <c r="AI17" s="35">
        <f t="shared" si="3"/>
        <v>0</v>
      </c>
      <c r="AJ17" s="35">
        <f t="shared" si="4"/>
        <v>0</v>
      </c>
    </row>
    <row r="18" spans="1:36" x14ac:dyDescent="0.25">
      <c r="A18" s="32" t="str">
        <f>IF(Mitarbeitende!A18="","",Mitarbeitende!A18)</f>
        <v/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H18" s="34">
        <f t="shared" si="2"/>
        <v>0</v>
      </c>
      <c r="AI18" s="35">
        <f t="shared" si="3"/>
        <v>0</v>
      </c>
      <c r="AJ18" s="35">
        <f t="shared" si="4"/>
        <v>0</v>
      </c>
    </row>
    <row r="19" spans="1:36" x14ac:dyDescent="0.25">
      <c r="A19" s="32" t="str">
        <f>IF(Mitarbeitende!A19="","",Mitarbeitende!A19)</f>
        <v/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H19" s="34">
        <f t="shared" si="2"/>
        <v>0</v>
      </c>
      <c r="AI19" s="35">
        <f t="shared" si="3"/>
        <v>0</v>
      </c>
      <c r="AJ19" s="35">
        <f t="shared" si="4"/>
        <v>0</v>
      </c>
    </row>
    <row r="20" spans="1:36" x14ac:dyDescent="0.25">
      <c r="A20" s="32" t="str">
        <f>IF(Mitarbeitende!A20="","",Mitarbeitende!A20)</f>
        <v/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H20" s="34">
        <f t="shared" si="2"/>
        <v>0</v>
      </c>
      <c r="AI20" s="35">
        <f t="shared" si="3"/>
        <v>0</v>
      </c>
      <c r="AJ20" s="35">
        <f t="shared" si="4"/>
        <v>0</v>
      </c>
    </row>
    <row r="21" spans="1:36" x14ac:dyDescent="0.25">
      <c r="A21" s="32" t="str">
        <f>IF(Mitarbeitende!A21="","",Mitarbeitende!A21)</f>
        <v/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H21" s="34">
        <f t="shared" si="2"/>
        <v>0</v>
      </c>
      <c r="AI21" s="35">
        <f t="shared" si="3"/>
        <v>0</v>
      </c>
      <c r="AJ21" s="35">
        <f t="shared" si="4"/>
        <v>0</v>
      </c>
    </row>
    <row r="22" spans="1:36" x14ac:dyDescent="0.25">
      <c r="A22" s="32" t="str">
        <f>IF(Mitarbeitende!A22="","",Mitarbeitende!A22)</f>
        <v/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H22" s="34">
        <f t="shared" si="2"/>
        <v>0</v>
      </c>
      <c r="AI22" s="35">
        <f t="shared" si="3"/>
        <v>0</v>
      </c>
      <c r="AJ22" s="35">
        <f t="shared" si="4"/>
        <v>0</v>
      </c>
    </row>
    <row r="23" spans="1:36" x14ac:dyDescent="0.25">
      <c r="A23" s="32" t="str">
        <f>IF(Mitarbeitende!A23="","",Mitarbeitende!A23)</f>
        <v/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H23" s="34">
        <f t="shared" si="2"/>
        <v>0</v>
      </c>
      <c r="AI23" s="35">
        <f t="shared" si="3"/>
        <v>0</v>
      </c>
      <c r="AJ23" s="35">
        <f t="shared" si="4"/>
        <v>0</v>
      </c>
    </row>
    <row r="24" spans="1:36" x14ac:dyDescent="0.25">
      <c r="A24" s="32" t="str">
        <f>IF(Mitarbeitende!A24="","",Mitarbeitende!A24)</f>
        <v/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H24" s="34">
        <f t="shared" si="2"/>
        <v>0</v>
      </c>
      <c r="AI24" s="35">
        <f t="shared" si="3"/>
        <v>0</v>
      </c>
      <c r="AJ24" s="35">
        <f t="shared" si="4"/>
        <v>0</v>
      </c>
    </row>
    <row r="25" spans="1:36" x14ac:dyDescent="0.25">
      <c r="A25" s="32" t="str">
        <f>IF(Mitarbeitende!A25="","",Mitarbeitende!A25)</f>
        <v/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H25" s="34">
        <f t="shared" si="2"/>
        <v>0</v>
      </c>
      <c r="AI25" s="35">
        <f t="shared" si="3"/>
        <v>0</v>
      </c>
      <c r="AJ25" s="35">
        <f t="shared" si="4"/>
        <v>0</v>
      </c>
    </row>
    <row r="26" spans="1:36" x14ac:dyDescent="0.25">
      <c r="A26" s="32" t="str">
        <f>IF(Mitarbeitende!A26="","",Mitarbeitende!A26)</f>
        <v/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H26" s="34">
        <f t="shared" si="2"/>
        <v>0</v>
      </c>
      <c r="AI26" s="35">
        <f t="shared" si="3"/>
        <v>0</v>
      </c>
      <c r="AJ26" s="35">
        <f t="shared" si="4"/>
        <v>0</v>
      </c>
    </row>
    <row r="27" spans="1:36" x14ac:dyDescent="0.25">
      <c r="A27" s="32" t="str">
        <f>IF(Mitarbeitende!A27="","",Mitarbeitende!A27)</f>
        <v/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H27" s="34">
        <f t="shared" si="2"/>
        <v>0</v>
      </c>
      <c r="AI27" s="35">
        <f t="shared" si="3"/>
        <v>0</v>
      </c>
      <c r="AJ27" s="35">
        <f t="shared" si="4"/>
        <v>0</v>
      </c>
    </row>
    <row r="28" spans="1:36" x14ac:dyDescent="0.25">
      <c r="A28" s="32" t="str">
        <f>IF(Mitarbeitende!A28="","",Mitarbeitende!A28)</f>
        <v/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H28" s="34">
        <f t="shared" si="2"/>
        <v>0</v>
      </c>
      <c r="AI28" s="35">
        <f t="shared" si="3"/>
        <v>0</v>
      </c>
      <c r="AJ28" s="35">
        <f t="shared" si="4"/>
        <v>0</v>
      </c>
    </row>
    <row r="29" spans="1:36" x14ac:dyDescent="0.25">
      <c r="A29" s="32" t="str">
        <f>IF(Mitarbeitende!A29="","",Mitarbeitende!A29)</f>
        <v/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H29" s="34">
        <f t="shared" si="2"/>
        <v>0</v>
      </c>
      <c r="AI29" s="35">
        <f t="shared" si="3"/>
        <v>0</v>
      </c>
      <c r="AJ29" s="35">
        <f t="shared" si="4"/>
        <v>0</v>
      </c>
    </row>
    <row r="30" spans="1:36" x14ac:dyDescent="0.25">
      <c r="A30" s="32" t="str">
        <f>IF(Mitarbeitende!A30="","",Mitarbeitende!A30)</f>
        <v/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H30" s="34">
        <f t="shared" si="2"/>
        <v>0</v>
      </c>
      <c r="AI30" s="35">
        <f t="shared" si="3"/>
        <v>0</v>
      </c>
      <c r="AJ30" s="35">
        <f t="shared" si="4"/>
        <v>0</v>
      </c>
    </row>
    <row r="31" spans="1:36" x14ac:dyDescent="0.25">
      <c r="A31" s="32" t="str">
        <f>IF(Mitarbeitende!A31="","",Mitarbeitende!A31)</f>
        <v/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H31" s="34">
        <f t="shared" si="2"/>
        <v>0</v>
      </c>
      <c r="AI31" s="35">
        <f t="shared" si="3"/>
        <v>0</v>
      </c>
      <c r="AJ31" s="35">
        <f t="shared" si="4"/>
        <v>0</v>
      </c>
    </row>
    <row r="32" spans="1:36" x14ac:dyDescent="0.25">
      <c r="A32" s="32" t="str">
        <f>IF(Mitarbeitende!A32="","",Mitarbeitende!A32)</f>
        <v/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H32" s="34">
        <f t="shared" si="2"/>
        <v>0</v>
      </c>
      <c r="AI32" s="35">
        <f t="shared" si="3"/>
        <v>0</v>
      </c>
      <c r="AJ32" s="35">
        <f t="shared" si="4"/>
        <v>0</v>
      </c>
    </row>
    <row r="33" spans="1:36" x14ac:dyDescent="0.25">
      <c r="A33" s="32" t="str">
        <f>IF(Mitarbeitende!A33="","",Mitarbeitende!A33)</f>
        <v/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H33" s="34">
        <f t="shared" si="2"/>
        <v>0</v>
      </c>
      <c r="AI33" s="35">
        <f t="shared" si="3"/>
        <v>0</v>
      </c>
      <c r="AJ33" s="35">
        <f t="shared" si="4"/>
        <v>0</v>
      </c>
    </row>
    <row r="34" spans="1:36" x14ac:dyDescent="0.25">
      <c r="A34" s="32" t="str">
        <f>IF(Mitarbeitende!A34="","",Mitarbeitende!A34)</f>
        <v/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H34" s="34">
        <f t="shared" si="2"/>
        <v>0</v>
      </c>
      <c r="AI34" s="35">
        <f t="shared" si="3"/>
        <v>0</v>
      </c>
      <c r="AJ34" s="35">
        <f t="shared" si="4"/>
        <v>0</v>
      </c>
    </row>
    <row r="36" spans="1:36" x14ac:dyDescent="0.25">
      <c r="A36" s="17" t="str">
        <f>"Arbeitstage im Monat: "&amp;SUM(B2:AF2)</f>
        <v>Arbeitstage im Monat: 20</v>
      </c>
    </row>
    <row r="37" spans="1:36" x14ac:dyDescent="0.25">
      <c r="A37" s="17" t="s">
        <v>59</v>
      </c>
    </row>
  </sheetData>
  <conditionalFormatting sqref="B3:AF34">
    <cfRule type="expression" dxfId="99" priority="7">
      <formula>B$3=""</formula>
    </cfRule>
    <cfRule type="expression" dxfId="98" priority="8">
      <formula>AND(B$3&lt;&gt;"",COUNTIF(Feiertage_aktiv,B$3)&gt;0)</formula>
    </cfRule>
    <cfRule type="expression" dxfId="97" priority="9">
      <formula>AND(B$3&lt;&gt;"",WEEKDAY(B$3,2)&gt;5)</formula>
    </cfRule>
  </conditionalFormatting>
  <conditionalFormatting sqref="B5:AF34">
    <cfRule type="expression" dxfId="96" priority="1" stopIfTrue="1">
      <formula>UPPER(B5)="U"</formula>
    </cfRule>
    <cfRule type="expression" dxfId="95" priority="2" stopIfTrue="1">
      <formula>UPPER(B5)="H"</formula>
    </cfRule>
    <cfRule type="expression" dxfId="94" priority="3" stopIfTrue="1">
      <formula>UPPER(B5)="K"</formula>
    </cfRule>
    <cfRule type="expression" dxfId="93" priority="4" stopIfTrue="1">
      <formula>UPPER(B5)="S"</formula>
    </cfRule>
    <cfRule type="expression" dxfId="92" priority="5" stopIfTrue="1">
      <formula>UPPER(B5)="Z"</formula>
    </cfRule>
    <cfRule type="expression" dxfId="91" priority="6" stopIfTrue="1">
      <formula>UPPER(B5)="F"</formula>
    </cfRule>
  </conditionalFormatting>
  <dataValidations count="1">
    <dataValidation type="list" allowBlank="1" showErrorMessage="1" errorTitle="Kürzel" error="Bitte U, H, K, S, Z oder F eintragen." sqref="B5:AF34" xr:uid="{00000000-0002-0000-0300-000000000000}">
      <formula1>"U,H,K,S,Z,F"</formula1>
    </dataValidation>
  </dataValidations>
  <pageMargins left="0.75" right="0.75" top="1" bottom="1" header="0.5" footer="0.5"/>
  <pageSetup fitToHeight="0" orientation="landscape"/>
  <headerFooter>
    <oddFooter>&amp;C&amp;8 &amp;K686E70Vorlage von seminaron.de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37"/>
  <sheetViews>
    <sheetView showGridLines="0" zoomScale="9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4" customWidth="1"/>
    <col min="2" max="32" width="4.140625" customWidth="1"/>
    <col min="33" max="33" width="1.42578125" customWidth="1"/>
    <col min="34" max="36" width="8.42578125" customWidth="1"/>
  </cols>
  <sheetData>
    <row r="1" spans="1:36" ht="23.25" x14ac:dyDescent="0.35">
      <c r="A1" s="18" t="str">
        <f>"März "&amp;Jahr&amp;IF(Firma="",""," · "&amp;Firma)</f>
        <v>März 2027</v>
      </c>
    </row>
    <row r="2" spans="1:36" hidden="1" x14ac:dyDescent="0.25">
      <c r="A2" s="26" t="s">
        <v>55</v>
      </c>
      <c r="B2" s="27">
        <f t="shared" ref="B2:AF2" si="0">IF(B3="",0,IF(WEEKDAY(B3,2)&gt;5,0,IF(COUNTIF(Feiertage_aktiv,B3)&gt;0,0,1)))</f>
        <v>1</v>
      </c>
      <c r="C2" s="27">
        <f t="shared" si="0"/>
        <v>1</v>
      </c>
      <c r="D2" s="27">
        <f t="shared" si="0"/>
        <v>1</v>
      </c>
      <c r="E2" s="27">
        <f t="shared" si="0"/>
        <v>1</v>
      </c>
      <c r="F2" s="27">
        <f t="shared" si="0"/>
        <v>1</v>
      </c>
      <c r="G2" s="27">
        <f t="shared" si="0"/>
        <v>0</v>
      </c>
      <c r="H2" s="27">
        <f t="shared" si="0"/>
        <v>0</v>
      </c>
      <c r="I2" s="27">
        <f t="shared" si="0"/>
        <v>1</v>
      </c>
      <c r="J2" s="27">
        <f t="shared" si="0"/>
        <v>1</v>
      </c>
      <c r="K2" s="27">
        <f t="shared" si="0"/>
        <v>1</v>
      </c>
      <c r="L2" s="27">
        <f t="shared" si="0"/>
        <v>1</v>
      </c>
      <c r="M2" s="27">
        <f t="shared" si="0"/>
        <v>1</v>
      </c>
      <c r="N2" s="27">
        <f t="shared" si="0"/>
        <v>0</v>
      </c>
      <c r="O2" s="27">
        <f t="shared" si="0"/>
        <v>0</v>
      </c>
      <c r="P2" s="27">
        <f t="shared" si="0"/>
        <v>1</v>
      </c>
      <c r="Q2" s="27">
        <f t="shared" si="0"/>
        <v>1</v>
      </c>
      <c r="R2" s="27">
        <f t="shared" si="0"/>
        <v>1</v>
      </c>
      <c r="S2" s="27">
        <f t="shared" si="0"/>
        <v>1</v>
      </c>
      <c r="T2" s="27">
        <f t="shared" si="0"/>
        <v>1</v>
      </c>
      <c r="U2" s="27">
        <f t="shared" si="0"/>
        <v>0</v>
      </c>
      <c r="V2" s="27">
        <f t="shared" si="0"/>
        <v>0</v>
      </c>
      <c r="W2" s="27">
        <f t="shared" si="0"/>
        <v>1</v>
      </c>
      <c r="X2" s="27">
        <f t="shared" si="0"/>
        <v>1</v>
      </c>
      <c r="Y2" s="27">
        <f t="shared" si="0"/>
        <v>1</v>
      </c>
      <c r="Z2" s="27">
        <f t="shared" si="0"/>
        <v>1</v>
      </c>
      <c r="AA2" s="27">
        <f t="shared" si="0"/>
        <v>0</v>
      </c>
      <c r="AB2" s="27">
        <f t="shared" si="0"/>
        <v>0</v>
      </c>
      <c r="AC2" s="27">
        <f t="shared" si="0"/>
        <v>0</v>
      </c>
      <c r="AD2" s="27">
        <f t="shared" si="0"/>
        <v>0</v>
      </c>
      <c r="AE2" s="27">
        <f t="shared" si="0"/>
        <v>1</v>
      </c>
      <c r="AF2" s="27">
        <f t="shared" si="0"/>
        <v>1</v>
      </c>
    </row>
    <row r="3" spans="1:36" x14ac:dyDescent="0.25">
      <c r="A3" s="17" t="str">
        <f>"Bundesland: "&amp;Bundesland</f>
        <v>Bundesland: Nordrhein-Westfalen</v>
      </c>
      <c r="B3" s="28">
        <f>IF(MONTH(DATE(Jahr,3,1))=3,DATE(Jahr,3,1),"")</f>
        <v>46447</v>
      </c>
      <c r="C3" s="28">
        <f>IF(MONTH(DATE(Jahr,3,2))=3,DATE(Jahr,3,2),"")</f>
        <v>46448</v>
      </c>
      <c r="D3" s="28">
        <f>IF(MONTH(DATE(Jahr,3,3))=3,DATE(Jahr,3,3),"")</f>
        <v>46449</v>
      </c>
      <c r="E3" s="28">
        <f>IF(MONTH(DATE(Jahr,3,4))=3,DATE(Jahr,3,4),"")</f>
        <v>46450</v>
      </c>
      <c r="F3" s="28">
        <f>IF(MONTH(DATE(Jahr,3,5))=3,DATE(Jahr,3,5),"")</f>
        <v>46451</v>
      </c>
      <c r="G3" s="28">
        <f>IF(MONTH(DATE(Jahr,3,6))=3,DATE(Jahr,3,6),"")</f>
        <v>46452</v>
      </c>
      <c r="H3" s="28">
        <f>IF(MONTH(DATE(Jahr,3,7))=3,DATE(Jahr,3,7),"")</f>
        <v>46453</v>
      </c>
      <c r="I3" s="28">
        <f>IF(MONTH(DATE(Jahr,3,8))=3,DATE(Jahr,3,8),"")</f>
        <v>46454</v>
      </c>
      <c r="J3" s="28">
        <f>IF(MONTH(DATE(Jahr,3,9))=3,DATE(Jahr,3,9),"")</f>
        <v>46455</v>
      </c>
      <c r="K3" s="28">
        <f>IF(MONTH(DATE(Jahr,3,10))=3,DATE(Jahr,3,10),"")</f>
        <v>46456</v>
      </c>
      <c r="L3" s="28">
        <f>IF(MONTH(DATE(Jahr,3,11))=3,DATE(Jahr,3,11),"")</f>
        <v>46457</v>
      </c>
      <c r="M3" s="28">
        <f>IF(MONTH(DATE(Jahr,3,12))=3,DATE(Jahr,3,12),"")</f>
        <v>46458</v>
      </c>
      <c r="N3" s="28">
        <f>IF(MONTH(DATE(Jahr,3,13))=3,DATE(Jahr,3,13),"")</f>
        <v>46459</v>
      </c>
      <c r="O3" s="28">
        <f>IF(MONTH(DATE(Jahr,3,14))=3,DATE(Jahr,3,14),"")</f>
        <v>46460</v>
      </c>
      <c r="P3" s="28">
        <f>IF(MONTH(DATE(Jahr,3,15))=3,DATE(Jahr,3,15),"")</f>
        <v>46461</v>
      </c>
      <c r="Q3" s="28">
        <f>IF(MONTH(DATE(Jahr,3,16))=3,DATE(Jahr,3,16),"")</f>
        <v>46462</v>
      </c>
      <c r="R3" s="28">
        <f>IF(MONTH(DATE(Jahr,3,17))=3,DATE(Jahr,3,17),"")</f>
        <v>46463</v>
      </c>
      <c r="S3" s="28">
        <f>IF(MONTH(DATE(Jahr,3,18))=3,DATE(Jahr,3,18),"")</f>
        <v>46464</v>
      </c>
      <c r="T3" s="28">
        <f>IF(MONTH(DATE(Jahr,3,19))=3,DATE(Jahr,3,19),"")</f>
        <v>46465</v>
      </c>
      <c r="U3" s="28">
        <f>IF(MONTH(DATE(Jahr,3,20))=3,DATE(Jahr,3,20),"")</f>
        <v>46466</v>
      </c>
      <c r="V3" s="28">
        <f>IF(MONTH(DATE(Jahr,3,21))=3,DATE(Jahr,3,21),"")</f>
        <v>46467</v>
      </c>
      <c r="W3" s="28">
        <f>IF(MONTH(DATE(Jahr,3,22))=3,DATE(Jahr,3,22),"")</f>
        <v>46468</v>
      </c>
      <c r="X3" s="28">
        <f>IF(MONTH(DATE(Jahr,3,23))=3,DATE(Jahr,3,23),"")</f>
        <v>46469</v>
      </c>
      <c r="Y3" s="28">
        <f>IF(MONTH(DATE(Jahr,3,24))=3,DATE(Jahr,3,24),"")</f>
        <v>46470</v>
      </c>
      <c r="Z3" s="28">
        <f>IF(MONTH(DATE(Jahr,3,25))=3,DATE(Jahr,3,25),"")</f>
        <v>46471</v>
      </c>
      <c r="AA3" s="28">
        <f>IF(MONTH(DATE(Jahr,3,26))=3,DATE(Jahr,3,26),"")</f>
        <v>46472</v>
      </c>
      <c r="AB3" s="28">
        <f>IF(MONTH(DATE(Jahr,3,27))=3,DATE(Jahr,3,27),"")</f>
        <v>46473</v>
      </c>
      <c r="AC3" s="28">
        <f>IF(MONTH(DATE(Jahr,3,28))=3,DATE(Jahr,3,28),"")</f>
        <v>46474</v>
      </c>
      <c r="AD3" s="28">
        <f>IF(MONTH(DATE(Jahr,3,29))=3,DATE(Jahr,3,29),"")</f>
        <v>46475</v>
      </c>
      <c r="AE3" s="28">
        <f>IF(MONTH(DATE(Jahr,3,30))=3,DATE(Jahr,3,30),"")</f>
        <v>46476</v>
      </c>
      <c r="AF3" s="28">
        <f>IF(MONTH(DATE(Jahr,3,31))=3,DATE(Jahr,3,31),"")</f>
        <v>46477</v>
      </c>
    </row>
    <row r="4" spans="1:36" x14ac:dyDescent="0.25">
      <c r="A4" s="29" t="s">
        <v>38</v>
      </c>
      <c r="B4" s="30">
        <f t="shared" ref="B4:AF4" si="1">B3</f>
        <v>46447</v>
      </c>
      <c r="C4" s="30">
        <f t="shared" si="1"/>
        <v>46448</v>
      </c>
      <c r="D4" s="30">
        <f t="shared" si="1"/>
        <v>46449</v>
      </c>
      <c r="E4" s="30">
        <f t="shared" si="1"/>
        <v>46450</v>
      </c>
      <c r="F4" s="30">
        <f t="shared" si="1"/>
        <v>46451</v>
      </c>
      <c r="G4" s="30">
        <f t="shared" si="1"/>
        <v>46452</v>
      </c>
      <c r="H4" s="30">
        <f t="shared" si="1"/>
        <v>46453</v>
      </c>
      <c r="I4" s="30">
        <f t="shared" si="1"/>
        <v>46454</v>
      </c>
      <c r="J4" s="30">
        <f t="shared" si="1"/>
        <v>46455</v>
      </c>
      <c r="K4" s="30">
        <f t="shared" si="1"/>
        <v>46456</v>
      </c>
      <c r="L4" s="30">
        <f t="shared" si="1"/>
        <v>46457</v>
      </c>
      <c r="M4" s="30">
        <f t="shared" si="1"/>
        <v>46458</v>
      </c>
      <c r="N4" s="30">
        <f t="shared" si="1"/>
        <v>46459</v>
      </c>
      <c r="O4" s="30">
        <f t="shared" si="1"/>
        <v>46460</v>
      </c>
      <c r="P4" s="30">
        <f t="shared" si="1"/>
        <v>46461</v>
      </c>
      <c r="Q4" s="30">
        <f t="shared" si="1"/>
        <v>46462</v>
      </c>
      <c r="R4" s="30">
        <f t="shared" si="1"/>
        <v>46463</v>
      </c>
      <c r="S4" s="30">
        <f t="shared" si="1"/>
        <v>46464</v>
      </c>
      <c r="T4" s="30">
        <f t="shared" si="1"/>
        <v>46465</v>
      </c>
      <c r="U4" s="30">
        <f t="shared" si="1"/>
        <v>46466</v>
      </c>
      <c r="V4" s="30">
        <f t="shared" si="1"/>
        <v>46467</v>
      </c>
      <c r="W4" s="30">
        <f t="shared" si="1"/>
        <v>46468</v>
      </c>
      <c r="X4" s="30">
        <f t="shared" si="1"/>
        <v>46469</v>
      </c>
      <c r="Y4" s="30">
        <f t="shared" si="1"/>
        <v>46470</v>
      </c>
      <c r="Z4" s="30">
        <f t="shared" si="1"/>
        <v>46471</v>
      </c>
      <c r="AA4" s="30">
        <f t="shared" si="1"/>
        <v>46472</v>
      </c>
      <c r="AB4" s="30">
        <f t="shared" si="1"/>
        <v>46473</v>
      </c>
      <c r="AC4" s="30">
        <f t="shared" si="1"/>
        <v>46474</v>
      </c>
      <c r="AD4" s="30">
        <f t="shared" si="1"/>
        <v>46475</v>
      </c>
      <c r="AE4" s="30">
        <f t="shared" si="1"/>
        <v>46476</v>
      </c>
      <c r="AF4" s="30">
        <f t="shared" si="1"/>
        <v>46477</v>
      </c>
      <c r="AH4" s="31" t="s">
        <v>56</v>
      </c>
      <c r="AI4" s="31" t="s">
        <v>57</v>
      </c>
      <c r="AJ4" s="31" t="s">
        <v>58</v>
      </c>
    </row>
    <row r="5" spans="1:36" x14ac:dyDescent="0.25">
      <c r="A5" s="32" t="str">
        <f>IF(Mitarbeitende!A5="","",Mitarbeitende!A5)</f>
        <v>Beispiel: Anna Muster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H5" s="34">
        <f t="shared" ref="AH5:AH34" si="2">SUMPRODUCT((B5:AF5="U")*$B$2:$AF$2)+0.5*SUMPRODUCT((B5:AF5="H")*$B$2:$AF$2)</f>
        <v>0</v>
      </c>
      <c r="AI5" s="35">
        <f t="shared" ref="AI5:AI34" si="3">SUMPRODUCT((B5:AF5="K")*$B$2:$AF$2)</f>
        <v>0</v>
      </c>
      <c r="AJ5" s="35">
        <f t="shared" ref="AJ5:AJ34" si="4">SUMPRODUCT((B5:AF5="S")*$B$2:$AF$2)</f>
        <v>0</v>
      </c>
    </row>
    <row r="6" spans="1:36" x14ac:dyDescent="0.25">
      <c r="A6" s="32" t="str">
        <f>IF(Mitarbeitende!A6="","",Mitarbeitende!A6)</f>
        <v>Beispiel: Ben Beispiel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H6" s="34">
        <f t="shared" si="2"/>
        <v>0</v>
      </c>
      <c r="AI6" s="35">
        <f t="shared" si="3"/>
        <v>0</v>
      </c>
      <c r="AJ6" s="35">
        <f t="shared" si="4"/>
        <v>0</v>
      </c>
    </row>
    <row r="7" spans="1:36" x14ac:dyDescent="0.25">
      <c r="A7" s="32" t="str">
        <f>IF(Mitarbeitende!A7="","",Mitarbeitende!A7)</f>
        <v/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H7" s="34">
        <f t="shared" si="2"/>
        <v>0</v>
      </c>
      <c r="AI7" s="35">
        <f t="shared" si="3"/>
        <v>0</v>
      </c>
      <c r="AJ7" s="35">
        <f t="shared" si="4"/>
        <v>0</v>
      </c>
    </row>
    <row r="8" spans="1:36" x14ac:dyDescent="0.25">
      <c r="A8" s="32" t="str">
        <f>IF(Mitarbeitende!A8="","",Mitarbeitende!A8)</f>
        <v/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H8" s="34">
        <f t="shared" si="2"/>
        <v>0</v>
      </c>
      <c r="AI8" s="35">
        <f t="shared" si="3"/>
        <v>0</v>
      </c>
      <c r="AJ8" s="35">
        <f t="shared" si="4"/>
        <v>0</v>
      </c>
    </row>
    <row r="9" spans="1:36" x14ac:dyDescent="0.25">
      <c r="A9" s="32" t="str">
        <f>IF(Mitarbeitende!A9="","",Mitarbeitende!A9)</f>
        <v/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H9" s="34">
        <f t="shared" si="2"/>
        <v>0</v>
      </c>
      <c r="AI9" s="35">
        <f t="shared" si="3"/>
        <v>0</v>
      </c>
      <c r="AJ9" s="35">
        <f t="shared" si="4"/>
        <v>0</v>
      </c>
    </row>
    <row r="10" spans="1:36" x14ac:dyDescent="0.25">
      <c r="A10" s="32" t="str">
        <f>IF(Mitarbeitende!A10="","",Mitarbeitende!A10)</f>
        <v/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H10" s="34">
        <f t="shared" si="2"/>
        <v>0</v>
      </c>
      <c r="AI10" s="35">
        <f t="shared" si="3"/>
        <v>0</v>
      </c>
      <c r="AJ10" s="35">
        <f t="shared" si="4"/>
        <v>0</v>
      </c>
    </row>
    <row r="11" spans="1:36" x14ac:dyDescent="0.25">
      <c r="A11" s="32" t="str">
        <f>IF(Mitarbeitende!A11="","",Mitarbeitende!A11)</f>
        <v/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H11" s="34">
        <f t="shared" si="2"/>
        <v>0</v>
      </c>
      <c r="AI11" s="35">
        <f t="shared" si="3"/>
        <v>0</v>
      </c>
      <c r="AJ11" s="35">
        <f t="shared" si="4"/>
        <v>0</v>
      </c>
    </row>
    <row r="12" spans="1:36" x14ac:dyDescent="0.25">
      <c r="A12" s="32" t="str">
        <f>IF(Mitarbeitende!A12="","",Mitarbeitende!A12)</f>
        <v/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H12" s="34">
        <f t="shared" si="2"/>
        <v>0</v>
      </c>
      <c r="AI12" s="35">
        <f t="shared" si="3"/>
        <v>0</v>
      </c>
      <c r="AJ12" s="35">
        <f t="shared" si="4"/>
        <v>0</v>
      </c>
    </row>
    <row r="13" spans="1:36" x14ac:dyDescent="0.25">
      <c r="A13" s="32" t="str">
        <f>IF(Mitarbeitende!A13="","",Mitarbeitende!A13)</f>
        <v/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H13" s="34">
        <f t="shared" si="2"/>
        <v>0</v>
      </c>
      <c r="AI13" s="35">
        <f t="shared" si="3"/>
        <v>0</v>
      </c>
      <c r="AJ13" s="35">
        <f t="shared" si="4"/>
        <v>0</v>
      </c>
    </row>
    <row r="14" spans="1:36" x14ac:dyDescent="0.25">
      <c r="A14" s="32" t="str">
        <f>IF(Mitarbeitende!A14="","",Mitarbeitende!A14)</f>
        <v/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H14" s="34">
        <f t="shared" si="2"/>
        <v>0</v>
      </c>
      <c r="AI14" s="35">
        <f t="shared" si="3"/>
        <v>0</v>
      </c>
      <c r="AJ14" s="35">
        <f t="shared" si="4"/>
        <v>0</v>
      </c>
    </row>
    <row r="15" spans="1:36" x14ac:dyDescent="0.25">
      <c r="A15" s="32" t="str">
        <f>IF(Mitarbeitende!A15="","",Mitarbeitende!A15)</f>
        <v/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H15" s="34">
        <f t="shared" si="2"/>
        <v>0</v>
      </c>
      <c r="AI15" s="35">
        <f t="shared" si="3"/>
        <v>0</v>
      </c>
      <c r="AJ15" s="35">
        <f t="shared" si="4"/>
        <v>0</v>
      </c>
    </row>
    <row r="16" spans="1:36" x14ac:dyDescent="0.25">
      <c r="A16" s="32" t="str">
        <f>IF(Mitarbeitende!A16="","",Mitarbeitende!A16)</f>
        <v/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H16" s="34">
        <f t="shared" si="2"/>
        <v>0</v>
      </c>
      <c r="AI16" s="35">
        <f t="shared" si="3"/>
        <v>0</v>
      </c>
      <c r="AJ16" s="35">
        <f t="shared" si="4"/>
        <v>0</v>
      </c>
    </row>
    <row r="17" spans="1:36" x14ac:dyDescent="0.25">
      <c r="A17" s="32" t="str">
        <f>IF(Mitarbeitende!A17="","",Mitarbeitende!A17)</f>
        <v/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H17" s="34">
        <f t="shared" si="2"/>
        <v>0</v>
      </c>
      <c r="AI17" s="35">
        <f t="shared" si="3"/>
        <v>0</v>
      </c>
      <c r="AJ17" s="35">
        <f t="shared" si="4"/>
        <v>0</v>
      </c>
    </row>
    <row r="18" spans="1:36" x14ac:dyDescent="0.25">
      <c r="A18" s="32" t="str">
        <f>IF(Mitarbeitende!A18="","",Mitarbeitende!A18)</f>
        <v/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H18" s="34">
        <f t="shared" si="2"/>
        <v>0</v>
      </c>
      <c r="AI18" s="35">
        <f t="shared" si="3"/>
        <v>0</v>
      </c>
      <c r="AJ18" s="35">
        <f t="shared" si="4"/>
        <v>0</v>
      </c>
    </row>
    <row r="19" spans="1:36" x14ac:dyDescent="0.25">
      <c r="A19" s="32" t="str">
        <f>IF(Mitarbeitende!A19="","",Mitarbeitende!A19)</f>
        <v/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H19" s="34">
        <f t="shared" si="2"/>
        <v>0</v>
      </c>
      <c r="AI19" s="35">
        <f t="shared" si="3"/>
        <v>0</v>
      </c>
      <c r="AJ19" s="35">
        <f t="shared" si="4"/>
        <v>0</v>
      </c>
    </row>
    <row r="20" spans="1:36" x14ac:dyDescent="0.25">
      <c r="A20" s="32" t="str">
        <f>IF(Mitarbeitende!A20="","",Mitarbeitende!A20)</f>
        <v/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H20" s="34">
        <f t="shared" si="2"/>
        <v>0</v>
      </c>
      <c r="AI20" s="35">
        <f t="shared" si="3"/>
        <v>0</v>
      </c>
      <c r="AJ20" s="35">
        <f t="shared" si="4"/>
        <v>0</v>
      </c>
    </row>
    <row r="21" spans="1:36" x14ac:dyDescent="0.25">
      <c r="A21" s="32" t="str">
        <f>IF(Mitarbeitende!A21="","",Mitarbeitende!A21)</f>
        <v/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H21" s="34">
        <f t="shared" si="2"/>
        <v>0</v>
      </c>
      <c r="AI21" s="35">
        <f t="shared" si="3"/>
        <v>0</v>
      </c>
      <c r="AJ21" s="35">
        <f t="shared" si="4"/>
        <v>0</v>
      </c>
    </row>
    <row r="22" spans="1:36" x14ac:dyDescent="0.25">
      <c r="A22" s="32" t="str">
        <f>IF(Mitarbeitende!A22="","",Mitarbeitende!A22)</f>
        <v/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H22" s="34">
        <f t="shared" si="2"/>
        <v>0</v>
      </c>
      <c r="AI22" s="35">
        <f t="shared" si="3"/>
        <v>0</v>
      </c>
      <c r="AJ22" s="35">
        <f t="shared" si="4"/>
        <v>0</v>
      </c>
    </row>
    <row r="23" spans="1:36" x14ac:dyDescent="0.25">
      <c r="A23" s="32" t="str">
        <f>IF(Mitarbeitende!A23="","",Mitarbeitende!A23)</f>
        <v/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H23" s="34">
        <f t="shared" si="2"/>
        <v>0</v>
      </c>
      <c r="AI23" s="35">
        <f t="shared" si="3"/>
        <v>0</v>
      </c>
      <c r="AJ23" s="35">
        <f t="shared" si="4"/>
        <v>0</v>
      </c>
    </row>
    <row r="24" spans="1:36" x14ac:dyDescent="0.25">
      <c r="A24" s="32" t="str">
        <f>IF(Mitarbeitende!A24="","",Mitarbeitende!A24)</f>
        <v/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H24" s="34">
        <f t="shared" si="2"/>
        <v>0</v>
      </c>
      <c r="AI24" s="35">
        <f t="shared" si="3"/>
        <v>0</v>
      </c>
      <c r="AJ24" s="35">
        <f t="shared" si="4"/>
        <v>0</v>
      </c>
    </row>
    <row r="25" spans="1:36" x14ac:dyDescent="0.25">
      <c r="A25" s="32" t="str">
        <f>IF(Mitarbeitende!A25="","",Mitarbeitende!A25)</f>
        <v/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H25" s="34">
        <f t="shared" si="2"/>
        <v>0</v>
      </c>
      <c r="AI25" s="35">
        <f t="shared" si="3"/>
        <v>0</v>
      </c>
      <c r="AJ25" s="35">
        <f t="shared" si="4"/>
        <v>0</v>
      </c>
    </row>
    <row r="26" spans="1:36" x14ac:dyDescent="0.25">
      <c r="A26" s="32" t="str">
        <f>IF(Mitarbeitende!A26="","",Mitarbeitende!A26)</f>
        <v/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H26" s="34">
        <f t="shared" si="2"/>
        <v>0</v>
      </c>
      <c r="AI26" s="35">
        <f t="shared" si="3"/>
        <v>0</v>
      </c>
      <c r="AJ26" s="35">
        <f t="shared" si="4"/>
        <v>0</v>
      </c>
    </row>
    <row r="27" spans="1:36" x14ac:dyDescent="0.25">
      <c r="A27" s="32" t="str">
        <f>IF(Mitarbeitende!A27="","",Mitarbeitende!A27)</f>
        <v/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H27" s="34">
        <f t="shared" si="2"/>
        <v>0</v>
      </c>
      <c r="AI27" s="35">
        <f t="shared" si="3"/>
        <v>0</v>
      </c>
      <c r="AJ27" s="35">
        <f t="shared" si="4"/>
        <v>0</v>
      </c>
    </row>
    <row r="28" spans="1:36" x14ac:dyDescent="0.25">
      <c r="A28" s="32" t="str">
        <f>IF(Mitarbeitende!A28="","",Mitarbeitende!A28)</f>
        <v/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H28" s="34">
        <f t="shared" si="2"/>
        <v>0</v>
      </c>
      <c r="AI28" s="35">
        <f t="shared" si="3"/>
        <v>0</v>
      </c>
      <c r="AJ28" s="35">
        <f t="shared" si="4"/>
        <v>0</v>
      </c>
    </row>
    <row r="29" spans="1:36" x14ac:dyDescent="0.25">
      <c r="A29" s="32" t="str">
        <f>IF(Mitarbeitende!A29="","",Mitarbeitende!A29)</f>
        <v/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H29" s="34">
        <f t="shared" si="2"/>
        <v>0</v>
      </c>
      <c r="AI29" s="35">
        <f t="shared" si="3"/>
        <v>0</v>
      </c>
      <c r="AJ29" s="35">
        <f t="shared" si="4"/>
        <v>0</v>
      </c>
    </row>
    <row r="30" spans="1:36" x14ac:dyDescent="0.25">
      <c r="A30" s="32" t="str">
        <f>IF(Mitarbeitende!A30="","",Mitarbeitende!A30)</f>
        <v/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H30" s="34">
        <f t="shared" si="2"/>
        <v>0</v>
      </c>
      <c r="AI30" s="35">
        <f t="shared" si="3"/>
        <v>0</v>
      </c>
      <c r="AJ30" s="35">
        <f t="shared" si="4"/>
        <v>0</v>
      </c>
    </row>
    <row r="31" spans="1:36" x14ac:dyDescent="0.25">
      <c r="A31" s="32" t="str">
        <f>IF(Mitarbeitende!A31="","",Mitarbeitende!A31)</f>
        <v/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H31" s="34">
        <f t="shared" si="2"/>
        <v>0</v>
      </c>
      <c r="AI31" s="35">
        <f t="shared" si="3"/>
        <v>0</v>
      </c>
      <c r="AJ31" s="35">
        <f t="shared" si="4"/>
        <v>0</v>
      </c>
    </row>
    <row r="32" spans="1:36" x14ac:dyDescent="0.25">
      <c r="A32" s="32" t="str">
        <f>IF(Mitarbeitende!A32="","",Mitarbeitende!A32)</f>
        <v/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H32" s="34">
        <f t="shared" si="2"/>
        <v>0</v>
      </c>
      <c r="AI32" s="35">
        <f t="shared" si="3"/>
        <v>0</v>
      </c>
      <c r="AJ32" s="35">
        <f t="shared" si="4"/>
        <v>0</v>
      </c>
    </row>
    <row r="33" spans="1:36" x14ac:dyDescent="0.25">
      <c r="A33" s="32" t="str">
        <f>IF(Mitarbeitende!A33="","",Mitarbeitende!A33)</f>
        <v/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H33" s="34">
        <f t="shared" si="2"/>
        <v>0</v>
      </c>
      <c r="AI33" s="35">
        <f t="shared" si="3"/>
        <v>0</v>
      </c>
      <c r="AJ33" s="35">
        <f t="shared" si="4"/>
        <v>0</v>
      </c>
    </row>
    <row r="34" spans="1:36" x14ac:dyDescent="0.25">
      <c r="A34" s="32" t="str">
        <f>IF(Mitarbeitende!A34="","",Mitarbeitende!A34)</f>
        <v/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H34" s="34">
        <f t="shared" si="2"/>
        <v>0</v>
      </c>
      <c r="AI34" s="35">
        <f t="shared" si="3"/>
        <v>0</v>
      </c>
      <c r="AJ34" s="35">
        <f t="shared" si="4"/>
        <v>0</v>
      </c>
    </row>
    <row r="36" spans="1:36" x14ac:dyDescent="0.25">
      <c r="A36" s="17" t="str">
        <f>"Arbeitstage im Monat: "&amp;SUM(B2:AF2)</f>
        <v>Arbeitstage im Monat: 21</v>
      </c>
    </row>
    <row r="37" spans="1:36" x14ac:dyDescent="0.25">
      <c r="A37" s="17" t="s">
        <v>59</v>
      </c>
    </row>
  </sheetData>
  <conditionalFormatting sqref="B3:AF34">
    <cfRule type="expression" dxfId="90" priority="7">
      <formula>B$3=""</formula>
    </cfRule>
    <cfRule type="expression" dxfId="89" priority="8">
      <formula>AND(B$3&lt;&gt;"",COUNTIF(Feiertage_aktiv,B$3)&gt;0)</formula>
    </cfRule>
    <cfRule type="expression" dxfId="88" priority="9">
      <formula>AND(B$3&lt;&gt;"",WEEKDAY(B$3,2)&gt;5)</formula>
    </cfRule>
  </conditionalFormatting>
  <conditionalFormatting sqref="B5:AF34">
    <cfRule type="expression" dxfId="87" priority="1" stopIfTrue="1">
      <formula>UPPER(B5)="U"</formula>
    </cfRule>
    <cfRule type="expression" dxfId="86" priority="2" stopIfTrue="1">
      <formula>UPPER(B5)="H"</formula>
    </cfRule>
    <cfRule type="expression" dxfId="85" priority="3" stopIfTrue="1">
      <formula>UPPER(B5)="K"</formula>
    </cfRule>
    <cfRule type="expression" dxfId="84" priority="4" stopIfTrue="1">
      <formula>UPPER(B5)="S"</formula>
    </cfRule>
    <cfRule type="expression" dxfId="83" priority="5" stopIfTrue="1">
      <formula>UPPER(B5)="Z"</formula>
    </cfRule>
    <cfRule type="expression" dxfId="82" priority="6" stopIfTrue="1">
      <formula>UPPER(B5)="F"</formula>
    </cfRule>
  </conditionalFormatting>
  <dataValidations count="1">
    <dataValidation type="list" allowBlank="1" showErrorMessage="1" errorTitle="Kürzel" error="Bitte U, H, K, S, Z oder F eintragen." sqref="B5:AF34" xr:uid="{00000000-0002-0000-0400-000000000000}">
      <formula1>"U,H,K,S,Z,F"</formula1>
    </dataValidation>
  </dataValidations>
  <pageMargins left="0.75" right="0.75" top="1" bottom="1" header="0.5" footer="0.5"/>
  <pageSetup fitToHeight="0" orientation="landscape"/>
  <headerFooter>
    <oddFooter>&amp;C&amp;8 &amp;K686E70Vorlage von seminaron.de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37"/>
  <sheetViews>
    <sheetView showGridLines="0" zoomScale="9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4" customWidth="1"/>
    <col min="2" max="32" width="4.140625" customWidth="1"/>
    <col min="33" max="33" width="1.42578125" customWidth="1"/>
    <col min="34" max="36" width="8.42578125" customWidth="1"/>
  </cols>
  <sheetData>
    <row r="1" spans="1:36" ht="23.25" x14ac:dyDescent="0.35">
      <c r="A1" s="18" t="str">
        <f>"April "&amp;Jahr&amp;IF(Firma="",""," · "&amp;Firma)</f>
        <v>April 2027</v>
      </c>
    </row>
    <row r="2" spans="1:36" hidden="1" x14ac:dyDescent="0.25">
      <c r="A2" s="26" t="s">
        <v>55</v>
      </c>
      <c r="B2" s="27">
        <f t="shared" ref="B2:AF2" si="0">IF(B3="",0,IF(WEEKDAY(B3,2)&gt;5,0,IF(COUNTIF(Feiertage_aktiv,B3)&gt;0,0,1)))</f>
        <v>1</v>
      </c>
      <c r="C2" s="27">
        <f t="shared" si="0"/>
        <v>1</v>
      </c>
      <c r="D2" s="27">
        <f t="shared" si="0"/>
        <v>0</v>
      </c>
      <c r="E2" s="27">
        <f t="shared" si="0"/>
        <v>0</v>
      </c>
      <c r="F2" s="27">
        <f t="shared" si="0"/>
        <v>1</v>
      </c>
      <c r="G2" s="27">
        <f t="shared" si="0"/>
        <v>1</v>
      </c>
      <c r="H2" s="27">
        <f t="shared" si="0"/>
        <v>1</v>
      </c>
      <c r="I2" s="27">
        <f t="shared" si="0"/>
        <v>1</v>
      </c>
      <c r="J2" s="27">
        <f t="shared" si="0"/>
        <v>1</v>
      </c>
      <c r="K2" s="27">
        <f t="shared" si="0"/>
        <v>0</v>
      </c>
      <c r="L2" s="27">
        <f t="shared" si="0"/>
        <v>0</v>
      </c>
      <c r="M2" s="27">
        <f t="shared" si="0"/>
        <v>1</v>
      </c>
      <c r="N2" s="27">
        <f t="shared" si="0"/>
        <v>1</v>
      </c>
      <c r="O2" s="27">
        <f t="shared" si="0"/>
        <v>1</v>
      </c>
      <c r="P2" s="27">
        <f t="shared" si="0"/>
        <v>1</v>
      </c>
      <c r="Q2" s="27">
        <f t="shared" si="0"/>
        <v>1</v>
      </c>
      <c r="R2" s="27">
        <f t="shared" si="0"/>
        <v>0</v>
      </c>
      <c r="S2" s="27">
        <f t="shared" si="0"/>
        <v>0</v>
      </c>
      <c r="T2" s="27">
        <f t="shared" si="0"/>
        <v>1</v>
      </c>
      <c r="U2" s="27">
        <f t="shared" si="0"/>
        <v>1</v>
      </c>
      <c r="V2" s="27">
        <f t="shared" si="0"/>
        <v>1</v>
      </c>
      <c r="W2" s="27">
        <f t="shared" si="0"/>
        <v>1</v>
      </c>
      <c r="X2" s="27">
        <f t="shared" si="0"/>
        <v>1</v>
      </c>
      <c r="Y2" s="27">
        <f t="shared" si="0"/>
        <v>0</v>
      </c>
      <c r="Z2" s="27">
        <f t="shared" si="0"/>
        <v>0</v>
      </c>
      <c r="AA2" s="27">
        <f t="shared" si="0"/>
        <v>1</v>
      </c>
      <c r="AB2" s="27">
        <f t="shared" si="0"/>
        <v>1</v>
      </c>
      <c r="AC2" s="27">
        <f t="shared" si="0"/>
        <v>1</v>
      </c>
      <c r="AD2" s="27">
        <f t="shared" si="0"/>
        <v>1</v>
      </c>
      <c r="AE2" s="27">
        <f t="shared" si="0"/>
        <v>1</v>
      </c>
      <c r="AF2" s="27">
        <f t="shared" si="0"/>
        <v>0</v>
      </c>
    </row>
    <row r="3" spans="1:36" x14ac:dyDescent="0.25">
      <c r="A3" s="17" t="str">
        <f>"Bundesland: "&amp;Bundesland</f>
        <v>Bundesland: Nordrhein-Westfalen</v>
      </c>
      <c r="B3" s="28">
        <f>IF(MONTH(DATE(Jahr,4,1))=4,DATE(Jahr,4,1),"")</f>
        <v>46478</v>
      </c>
      <c r="C3" s="28">
        <f>IF(MONTH(DATE(Jahr,4,2))=4,DATE(Jahr,4,2),"")</f>
        <v>46479</v>
      </c>
      <c r="D3" s="28">
        <f>IF(MONTH(DATE(Jahr,4,3))=4,DATE(Jahr,4,3),"")</f>
        <v>46480</v>
      </c>
      <c r="E3" s="28">
        <f>IF(MONTH(DATE(Jahr,4,4))=4,DATE(Jahr,4,4),"")</f>
        <v>46481</v>
      </c>
      <c r="F3" s="28">
        <f>IF(MONTH(DATE(Jahr,4,5))=4,DATE(Jahr,4,5),"")</f>
        <v>46482</v>
      </c>
      <c r="G3" s="28">
        <f>IF(MONTH(DATE(Jahr,4,6))=4,DATE(Jahr,4,6),"")</f>
        <v>46483</v>
      </c>
      <c r="H3" s="28">
        <f>IF(MONTH(DATE(Jahr,4,7))=4,DATE(Jahr,4,7),"")</f>
        <v>46484</v>
      </c>
      <c r="I3" s="28">
        <f>IF(MONTH(DATE(Jahr,4,8))=4,DATE(Jahr,4,8),"")</f>
        <v>46485</v>
      </c>
      <c r="J3" s="28">
        <f>IF(MONTH(DATE(Jahr,4,9))=4,DATE(Jahr,4,9),"")</f>
        <v>46486</v>
      </c>
      <c r="K3" s="28">
        <f>IF(MONTH(DATE(Jahr,4,10))=4,DATE(Jahr,4,10),"")</f>
        <v>46487</v>
      </c>
      <c r="L3" s="28">
        <f>IF(MONTH(DATE(Jahr,4,11))=4,DATE(Jahr,4,11),"")</f>
        <v>46488</v>
      </c>
      <c r="M3" s="28">
        <f>IF(MONTH(DATE(Jahr,4,12))=4,DATE(Jahr,4,12),"")</f>
        <v>46489</v>
      </c>
      <c r="N3" s="28">
        <f>IF(MONTH(DATE(Jahr,4,13))=4,DATE(Jahr,4,13),"")</f>
        <v>46490</v>
      </c>
      <c r="O3" s="28">
        <f>IF(MONTH(DATE(Jahr,4,14))=4,DATE(Jahr,4,14),"")</f>
        <v>46491</v>
      </c>
      <c r="P3" s="28">
        <f>IF(MONTH(DATE(Jahr,4,15))=4,DATE(Jahr,4,15),"")</f>
        <v>46492</v>
      </c>
      <c r="Q3" s="28">
        <f>IF(MONTH(DATE(Jahr,4,16))=4,DATE(Jahr,4,16),"")</f>
        <v>46493</v>
      </c>
      <c r="R3" s="28">
        <f>IF(MONTH(DATE(Jahr,4,17))=4,DATE(Jahr,4,17),"")</f>
        <v>46494</v>
      </c>
      <c r="S3" s="28">
        <f>IF(MONTH(DATE(Jahr,4,18))=4,DATE(Jahr,4,18),"")</f>
        <v>46495</v>
      </c>
      <c r="T3" s="28">
        <f>IF(MONTH(DATE(Jahr,4,19))=4,DATE(Jahr,4,19),"")</f>
        <v>46496</v>
      </c>
      <c r="U3" s="28">
        <f>IF(MONTH(DATE(Jahr,4,20))=4,DATE(Jahr,4,20),"")</f>
        <v>46497</v>
      </c>
      <c r="V3" s="28">
        <f>IF(MONTH(DATE(Jahr,4,21))=4,DATE(Jahr,4,21),"")</f>
        <v>46498</v>
      </c>
      <c r="W3" s="28">
        <f>IF(MONTH(DATE(Jahr,4,22))=4,DATE(Jahr,4,22),"")</f>
        <v>46499</v>
      </c>
      <c r="X3" s="28">
        <f>IF(MONTH(DATE(Jahr,4,23))=4,DATE(Jahr,4,23),"")</f>
        <v>46500</v>
      </c>
      <c r="Y3" s="28">
        <f>IF(MONTH(DATE(Jahr,4,24))=4,DATE(Jahr,4,24),"")</f>
        <v>46501</v>
      </c>
      <c r="Z3" s="28">
        <f>IF(MONTH(DATE(Jahr,4,25))=4,DATE(Jahr,4,25),"")</f>
        <v>46502</v>
      </c>
      <c r="AA3" s="28">
        <f>IF(MONTH(DATE(Jahr,4,26))=4,DATE(Jahr,4,26),"")</f>
        <v>46503</v>
      </c>
      <c r="AB3" s="28">
        <f>IF(MONTH(DATE(Jahr,4,27))=4,DATE(Jahr,4,27),"")</f>
        <v>46504</v>
      </c>
      <c r="AC3" s="28">
        <f>IF(MONTH(DATE(Jahr,4,28))=4,DATE(Jahr,4,28),"")</f>
        <v>46505</v>
      </c>
      <c r="AD3" s="28">
        <f>IF(MONTH(DATE(Jahr,4,29))=4,DATE(Jahr,4,29),"")</f>
        <v>46506</v>
      </c>
      <c r="AE3" s="28">
        <f>IF(MONTH(DATE(Jahr,4,30))=4,DATE(Jahr,4,30),"")</f>
        <v>46507</v>
      </c>
      <c r="AF3" s="28" t="str">
        <f>IF(MONTH(DATE(Jahr,4,31))=4,DATE(Jahr,4,31),"")</f>
        <v/>
      </c>
    </row>
    <row r="4" spans="1:36" x14ac:dyDescent="0.25">
      <c r="A4" s="29" t="s">
        <v>38</v>
      </c>
      <c r="B4" s="30">
        <f t="shared" ref="B4:AF4" si="1">B3</f>
        <v>46478</v>
      </c>
      <c r="C4" s="30">
        <f t="shared" si="1"/>
        <v>46479</v>
      </c>
      <c r="D4" s="30">
        <f t="shared" si="1"/>
        <v>46480</v>
      </c>
      <c r="E4" s="30">
        <f t="shared" si="1"/>
        <v>46481</v>
      </c>
      <c r="F4" s="30">
        <f t="shared" si="1"/>
        <v>46482</v>
      </c>
      <c r="G4" s="30">
        <f t="shared" si="1"/>
        <v>46483</v>
      </c>
      <c r="H4" s="30">
        <f t="shared" si="1"/>
        <v>46484</v>
      </c>
      <c r="I4" s="30">
        <f t="shared" si="1"/>
        <v>46485</v>
      </c>
      <c r="J4" s="30">
        <f t="shared" si="1"/>
        <v>46486</v>
      </c>
      <c r="K4" s="30">
        <f t="shared" si="1"/>
        <v>46487</v>
      </c>
      <c r="L4" s="30">
        <f t="shared" si="1"/>
        <v>46488</v>
      </c>
      <c r="M4" s="30">
        <f t="shared" si="1"/>
        <v>46489</v>
      </c>
      <c r="N4" s="30">
        <f t="shared" si="1"/>
        <v>46490</v>
      </c>
      <c r="O4" s="30">
        <f t="shared" si="1"/>
        <v>46491</v>
      </c>
      <c r="P4" s="30">
        <f t="shared" si="1"/>
        <v>46492</v>
      </c>
      <c r="Q4" s="30">
        <f t="shared" si="1"/>
        <v>46493</v>
      </c>
      <c r="R4" s="30">
        <f t="shared" si="1"/>
        <v>46494</v>
      </c>
      <c r="S4" s="30">
        <f t="shared" si="1"/>
        <v>46495</v>
      </c>
      <c r="T4" s="30">
        <f t="shared" si="1"/>
        <v>46496</v>
      </c>
      <c r="U4" s="30">
        <f t="shared" si="1"/>
        <v>46497</v>
      </c>
      <c r="V4" s="30">
        <f t="shared" si="1"/>
        <v>46498</v>
      </c>
      <c r="W4" s="30">
        <f t="shared" si="1"/>
        <v>46499</v>
      </c>
      <c r="X4" s="30">
        <f t="shared" si="1"/>
        <v>46500</v>
      </c>
      <c r="Y4" s="30">
        <f t="shared" si="1"/>
        <v>46501</v>
      </c>
      <c r="Z4" s="30">
        <f t="shared" si="1"/>
        <v>46502</v>
      </c>
      <c r="AA4" s="30">
        <f t="shared" si="1"/>
        <v>46503</v>
      </c>
      <c r="AB4" s="30">
        <f t="shared" si="1"/>
        <v>46504</v>
      </c>
      <c r="AC4" s="30">
        <f t="shared" si="1"/>
        <v>46505</v>
      </c>
      <c r="AD4" s="30">
        <f t="shared" si="1"/>
        <v>46506</v>
      </c>
      <c r="AE4" s="30">
        <f t="shared" si="1"/>
        <v>46507</v>
      </c>
      <c r="AF4" s="30" t="str">
        <f t="shared" si="1"/>
        <v/>
      </c>
      <c r="AH4" s="31" t="s">
        <v>56</v>
      </c>
      <c r="AI4" s="31" t="s">
        <v>57</v>
      </c>
      <c r="AJ4" s="31" t="s">
        <v>58</v>
      </c>
    </row>
    <row r="5" spans="1:36" x14ac:dyDescent="0.25">
      <c r="A5" s="32" t="str">
        <f>IF(Mitarbeitende!A5="","",Mitarbeitende!A5)</f>
        <v>Beispiel: Anna Muster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H5" s="34">
        <f t="shared" ref="AH5:AH34" si="2">SUMPRODUCT((B5:AF5="U")*$B$2:$AF$2)+0.5*SUMPRODUCT((B5:AF5="H")*$B$2:$AF$2)</f>
        <v>0</v>
      </c>
      <c r="AI5" s="35">
        <f t="shared" ref="AI5:AI34" si="3">SUMPRODUCT((B5:AF5="K")*$B$2:$AF$2)</f>
        <v>0</v>
      </c>
      <c r="AJ5" s="35">
        <f t="shared" ref="AJ5:AJ34" si="4">SUMPRODUCT((B5:AF5="S")*$B$2:$AF$2)</f>
        <v>0</v>
      </c>
    </row>
    <row r="6" spans="1:36" x14ac:dyDescent="0.25">
      <c r="A6" s="32" t="str">
        <f>IF(Mitarbeitende!A6="","",Mitarbeitende!A6)</f>
        <v>Beispiel: Ben Beispiel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H6" s="34">
        <f t="shared" si="2"/>
        <v>0</v>
      </c>
      <c r="AI6" s="35">
        <f t="shared" si="3"/>
        <v>0</v>
      </c>
      <c r="AJ6" s="35">
        <f t="shared" si="4"/>
        <v>0</v>
      </c>
    </row>
    <row r="7" spans="1:36" x14ac:dyDescent="0.25">
      <c r="A7" s="32" t="str">
        <f>IF(Mitarbeitende!A7="","",Mitarbeitende!A7)</f>
        <v/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H7" s="34">
        <f t="shared" si="2"/>
        <v>0</v>
      </c>
      <c r="AI7" s="35">
        <f t="shared" si="3"/>
        <v>0</v>
      </c>
      <c r="AJ7" s="35">
        <f t="shared" si="4"/>
        <v>0</v>
      </c>
    </row>
    <row r="8" spans="1:36" x14ac:dyDescent="0.25">
      <c r="A8" s="32" t="str">
        <f>IF(Mitarbeitende!A8="","",Mitarbeitende!A8)</f>
        <v/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H8" s="34">
        <f t="shared" si="2"/>
        <v>0</v>
      </c>
      <c r="AI8" s="35">
        <f t="shared" si="3"/>
        <v>0</v>
      </c>
      <c r="AJ8" s="35">
        <f t="shared" si="4"/>
        <v>0</v>
      </c>
    </row>
    <row r="9" spans="1:36" x14ac:dyDescent="0.25">
      <c r="A9" s="32" t="str">
        <f>IF(Mitarbeitende!A9="","",Mitarbeitende!A9)</f>
        <v/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H9" s="34">
        <f t="shared" si="2"/>
        <v>0</v>
      </c>
      <c r="AI9" s="35">
        <f t="shared" si="3"/>
        <v>0</v>
      </c>
      <c r="AJ9" s="35">
        <f t="shared" si="4"/>
        <v>0</v>
      </c>
    </row>
    <row r="10" spans="1:36" x14ac:dyDescent="0.25">
      <c r="A10" s="32" t="str">
        <f>IF(Mitarbeitende!A10="","",Mitarbeitende!A10)</f>
        <v/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H10" s="34">
        <f t="shared" si="2"/>
        <v>0</v>
      </c>
      <c r="AI10" s="35">
        <f t="shared" si="3"/>
        <v>0</v>
      </c>
      <c r="AJ10" s="35">
        <f t="shared" si="4"/>
        <v>0</v>
      </c>
    </row>
    <row r="11" spans="1:36" x14ac:dyDescent="0.25">
      <c r="A11" s="32" t="str">
        <f>IF(Mitarbeitende!A11="","",Mitarbeitende!A11)</f>
        <v/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H11" s="34">
        <f t="shared" si="2"/>
        <v>0</v>
      </c>
      <c r="AI11" s="35">
        <f t="shared" si="3"/>
        <v>0</v>
      </c>
      <c r="AJ11" s="35">
        <f t="shared" si="4"/>
        <v>0</v>
      </c>
    </row>
    <row r="12" spans="1:36" x14ac:dyDescent="0.25">
      <c r="A12" s="32" t="str">
        <f>IF(Mitarbeitende!A12="","",Mitarbeitende!A12)</f>
        <v/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H12" s="34">
        <f t="shared" si="2"/>
        <v>0</v>
      </c>
      <c r="AI12" s="35">
        <f t="shared" si="3"/>
        <v>0</v>
      </c>
      <c r="AJ12" s="35">
        <f t="shared" si="4"/>
        <v>0</v>
      </c>
    </row>
    <row r="13" spans="1:36" x14ac:dyDescent="0.25">
      <c r="A13" s="32" t="str">
        <f>IF(Mitarbeitende!A13="","",Mitarbeitende!A13)</f>
        <v/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H13" s="34">
        <f t="shared" si="2"/>
        <v>0</v>
      </c>
      <c r="AI13" s="35">
        <f t="shared" si="3"/>
        <v>0</v>
      </c>
      <c r="AJ13" s="35">
        <f t="shared" si="4"/>
        <v>0</v>
      </c>
    </row>
    <row r="14" spans="1:36" x14ac:dyDescent="0.25">
      <c r="A14" s="32" t="str">
        <f>IF(Mitarbeitende!A14="","",Mitarbeitende!A14)</f>
        <v/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H14" s="34">
        <f t="shared" si="2"/>
        <v>0</v>
      </c>
      <c r="AI14" s="35">
        <f t="shared" si="3"/>
        <v>0</v>
      </c>
      <c r="AJ14" s="35">
        <f t="shared" si="4"/>
        <v>0</v>
      </c>
    </row>
    <row r="15" spans="1:36" x14ac:dyDescent="0.25">
      <c r="A15" s="32" t="str">
        <f>IF(Mitarbeitende!A15="","",Mitarbeitende!A15)</f>
        <v/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H15" s="34">
        <f t="shared" si="2"/>
        <v>0</v>
      </c>
      <c r="AI15" s="35">
        <f t="shared" si="3"/>
        <v>0</v>
      </c>
      <c r="AJ15" s="35">
        <f t="shared" si="4"/>
        <v>0</v>
      </c>
    </row>
    <row r="16" spans="1:36" x14ac:dyDescent="0.25">
      <c r="A16" s="32" t="str">
        <f>IF(Mitarbeitende!A16="","",Mitarbeitende!A16)</f>
        <v/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H16" s="34">
        <f t="shared" si="2"/>
        <v>0</v>
      </c>
      <c r="AI16" s="35">
        <f t="shared" si="3"/>
        <v>0</v>
      </c>
      <c r="AJ16" s="35">
        <f t="shared" si="4"/>
        <v>0</v>
      </c>
    </row>
    <row r="17" spans="1:36" x14ac:dyDescent="0.25">
      <c r="A17" s="32" t="str">
        <f>IF(Mitarbeitende!A17="","",Mitarbeitende!A17)</f>
        <v/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H17" s="34">
        <f t="shared" si="2"/>
        <v>0</v>
      </c>
      <c r="AI17" s="35">
        <f t="shared" si="3"/>
        <v>0</v>
      </c>
      <c r="AJ17" s="35">
        <f t="shared" si="4"/>
        <v>0</v>
      </c>
    </row>
    <row r="18" spans="1:36" x14ac:dyDescent="0.25">
      <c r="A18" s="32" t="str">
        <f>IF(Mitarbeitende!A18="","",Mitarbeitende!A18)</f>
        <v/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H18" s="34">
        <f t="shared" si="2"/>
        <v>0</v>
      </c>
      <c r="AI18" s="35">
        <f t="shared" si="3"/>
        <v>0</v>
      </c>
      <c r="AJ18" s="35">
        <f t="shared" si="4"/>
        <v>0</v>
      </c>
    </row>
    <row r="19" spans="1:36" x14ac:dyDescent="0.25">
      <c r="A19" s="32" t="str">
        <f>IF(Mitarbeitende!A19="","",Mitarbeitende!A19)</f>
        <v/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H19" s="34">
        <f t="shared" si="2"/>
        <v>0</v>
      </c>
      <c r="AI19" s="35">
        <f t="shared" si="3"/>
        <v>0</v>
      </c>
      <c r="AJ19" s="35">
        <f t="shared" si="4"/>
        <v>0</v>
      </c>
    </row>
    <row r="20" spans="1:36" x14ac:dyDescent="0.25">
      <c r="A20" s="32" t="str">
        <f>IF(Mitarbeitende!A20="","",Mitarbeitende!A20)</f>
        <v/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H20" s="34">
        <f t="shared" si="2"/>
        <v>0</v>
      </c>
      <c r="AI20" s="35">
        <f t="shared" si="3"/>
        <v>0</v>
      </c>
      <c r="AJ20" s="35">
        <f t="shared" si="4"/>
        <v>0</v>
      </c>
    </row>
    <row r="21" spans="1:36" x14ac:dyDescent="0.25">
      <c r="A21" s="32" t="str">
        <f>IF(Mitarbeitende!A21="","",Mitarbeitende!A21)</f>
        <v/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H21" s="34">
        <f t="shared" si="2"/>
        <v>0</v>
      </c>
      <c r="AI21" s="35">
        <f t="shared" si="3"/>
        <v>0</v>
      </c>
      <c r="AJ21" s="35">
        <f t="shared" si="4"/>
        <v>0</v>
      </c>
    </row>
    <row r="22" spans="1:36" x14ac:dyDescent="0.25">
      <c r="A22" s="32" t="str">
        <f>IF(Mitarbeitende!A22="","",Mitarbeitende!A22)</f>
        <v/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H22" s="34">
        <f t="shared" si="2"/>
        <v>0</v>
      </c>
      <c r="AI22" s="35">
        <f t="shared" si="3"/>
        <v>0</v>
      </c>
      <c r="AJ22" s="35">
        <f t="shared" si="4"/>
        <v>0</v>
      </c>
    </row>
    <row r="23" spans="1:36" x14ac:dyDescent="0.25">
      <c r="A23" s="32" t="str">
        <f>IF(Mitarbeitende!A23="","",Mitarbeitende!A23)</f>
        <v/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H23" s="34">
        <f t="shared" si="2"/>
        <v>0</v>
      </c>
      <c r="AI23" s="35">
        <f t="shared" si="3"/>
        <v>0</v>
      </c>
      <c r="AJ23" s="35">
        <f t="shared" si="4"/>
        <v>0</v>
      </c>
    </row>
    <row r="24" spans="1:36" x14ac:dyDescent="0.25">
      <c r="A24" s="32" t="str">
        <f>IF(Mitarbeitende!A24="","",Mitarbeitende!A24)</f>
        <v/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H24" s="34">
        <f t="shared" si="2"/>
        <v>0</v>
      </c>
      <c r="AI24" s="35">
        <f t="shared" si="3"/>
        <v>0</v>
      </c>
      <c r="AJ24" s="35">
        <f t="shared" si="4"/>
        <v>0</v>
      </c>
    </row>
    <row r="25" spans="1:36" x14ac:dyDescent="0.25">
      <c r="A25" s="32" t="str">
        <f>IF(Mitarbeitende!A25="","",Mitarbeitende!A25)</f>
        <v/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H25" s="34">
        <f t="shared" si="2"/>
        <v>0</v>
      </c>
      <c r="AI25" s="35">
        <f t="shared" si="3"/>
        <v>0</v>
      </c>
      <c r="AJ25" s="35">
        <f t="shared" si="4"/>
        <v>0</v>
      </c>
    </row>
    <row r="26" spans="1:36" x14ac:dyDescent="0.25">
      <c r="A26" s="32" t="str">
        <f>IF(Mitarbeitende!A26="","",Mitarbeitende!A26)</f>
        <v/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H26" s="34">
        <f t="shared" si="2"/>
        <v>0</v>
      </c>
      <c r="AI26" s="35">
        <f t="shared" si="3"/>
        <v>0</v>
      </c>
      <c r="AJ26" s="35">
        <f t="shared" si="4"/>
        <v>0</v>
      </c>
    </row>
    <row r="27" spans="1:36" x14ac:dyDescent="0.25">
      <c r="A27" s="32" t="str">
        <f>IF(Mitarbeitende!A27="","",Mitarbeitende!A27)</f>
        <v/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H27" s="34">
        <f t="shared" si="2"/>
        <v>0</v>
      </c>
      <c r="AI27" s="35">
        <f t="shared" si="3"/>
        <v>0</v>
      </c>
      <c r="AJ27" s="35">
        <f t="shared" si="4"/>
        <v>0</v>
      </c>
    </row>
    <row r="28" spans="1:36" x14ac:dyDescent="0.25">
      <c r="A28" s="32" t="str">
        <f>IF(Mitarbeitende!A28="","",Mitarbeitende!A28)</f>
        <v/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H28" s="34">
        <f t="shared" si="2"/>
        <v>0</v>
      </c>
      <c r="AI28" s="35">
        <f t="shared" si="3"/>
        <v>0</v>
      </c>
      <c r="AJ28" s="35">
        <f t="shared" si="4"/>
        <v>0</v>
      </c>
    </row>
    <row r="29" spans="1:36" x14ac:dyDescent="0.25">
      <c r="A29" s="32" t="str">
        <f>IF(Mitarbeitende!A29="","",Mitarbeitende!A29)</f>
        <v/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H29" s="34">
        <f t="shared" si="2"/>
        <v>0</v>
      </c>
      <c r="AI29" s="35">
        <f t="shared" si="3"/>
        <v>0</v>
      </c>
      <c r="AJ29" s="35">
        <f t="shared" si="4"/>
        <v>0</v>
      </c>
    </row>
    <row r="30" spans="1:36" x14ac:dyDescent="0.25">
      <c r="A30" s="32" t="str">
        <f>IF(Mitarbeitende!A30="","",Mitarbeitende!A30)</f>
        <v/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H30" s="34">
        <f t="shared" si="2"/>
        <v>0</v>
      </c>
      <c r="AI30" s="35">
        <f t="shared" si="3"/>
        <v>0</v>
      </c>
      <c r="AJ30" s="35">
        <f t="shared" si="4"/>
        <v>0</v>
      </c>
    </row>
    <row r="31" spans="1:36" x14ac:dyDescent="0.25">
      <c r="A31" s="32" t="str">
        <f>IF(Mitarbeitende!A31="","",Mitarbeitende!A31)</f>
        <v/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H31" s="34">
        <f t="shared" si="2"/>
        <v>0</v>
      </c>
      <c r="AI31" s="35">
        <f t="shared" si="3"/>
        <v>0</v>
      </c>
      <c r="AJ31" s="35">
        <f t="shared" si="4"/>
        <v>0</v>
      </c>
    </row>
    <row r="32" spans="1:36" x14ac:dyDescent="0.25">
      <c r="A32" s="32" t="str">
        <f>IF(Mitarbeitende!A32="","",Mitarbeitende!A32)</f>
        <v/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H32" s="34">
        <f t="shared" si="2"/>
        <v>0</v>
      </c>
      <c r="AI32" s="35">
        <f t="shared" si="3"/>
        <v>0</v>
      </c>
      <c r="AJ32" s="35">
        <f t="shared" si="4"/>
        <v>0</v>
      </c>
    </row>
    <row r="33" spans="1:36" x14ac:dyDescent="0.25">
      <c r="A33" s="32" t="str">
        <f>IF(Mitarbeitende!A33="","",Mitarbeitende!A33)</f>
        <v/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H33" s="34">
        <f t="shared" si="2"/>
        <v>0</v>
      </c>
      <c r="AI33" s="35">
        <f t="shared" si="3"/>
        <v>0</v>
      </c>
      <c r="AJ33" s="35">
        <f t="shared" si="4"/>
        <v>0</v>
      </c>
    </row>
    <row r="34" spans="1:36" x14ac:dyDescent="0.25">
      <c r="A34" s="32" t="str">
        <f>IF(Mitarbeitende!A34="","",Mitarbeitende!A34)</f>
        <v/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H34" s="34">
        <f t="shared" si="2"/>
        <v>0</v>
      </c>
      <c r="AI34" s="35">
        <f t="shared" si="3"/>
        <v>0</v>
      </c>
      <c r="AJ34" s="35">
        <f t="shared" si="4"/>
        <v>0</v>
      </c>
    </row>
    <row r="36" spans="1:36" x14ac:dyDescent="0.25">
      <c r="A36" s="17" t="str">
        <f>"Arbeitstage im Monat: "&amp;SUM(B2:AF2)</f>
        <v>Arbeitstage im Monat: 22</v>
      </c>
    </row>
    <row r="37" spans="1:36" x14ac:dyDescent="0.25">
      <c r="A37" s="17" t="s">
        <v>59</v>
      </c>
    </row>
  </sheetData>
  <conditionalFormatting sqref="B3:AF34">
    <cfRule type="expression" dxfId="81" priority="7">
      <formula>B$3=""</formula>
    </cfRule>
    <cfRule type="expression" dxfId="80" priority="8">
      <formula>AND(B$3&lt;&gt;"",COUNTIF(Feiertage_aktiv,B$3)&gt;0)</formula>
    </cfRule>
    <cfRule type="expression" dxfId="79" priority="9">
      <formula>AND(B$3&lt;&gt;"",WEEKDAY(B$3,2)&gt;5)</formula>
    </cfRule>
  </conditionalFormatting>
  <conditionalFormatting sqref="B5:AF34">
    <cfRule type="expression" dxfId="78" priority="1" stopIfTrue="1">
      <formula>UPPER(B5)="U"</formula>
    </cfRule>
    <cfRule type="expression" dxfId="77" priority="2" stopIfTrue="1">
      <formula>UPPER(B5)="H"</formula>
    </cfRule>
    <cfRule type="expression" dxfId="76" priority="3" stopIfTrue="1">
      <formula>UPPER(B5)="K"</formula>
    </cfRule>
    <cfRule type="expression" dxfId="75" priority="4" stopIfTrue="1">
      <formula>UPPER(B5)="S"</formula>
    </cfRule>
    <cfRule type="expression" dxfId="74" priority="5" stopIfTrue="1">
      <formula>UPPER(B5)="Z"</formula>
    </cfRule>
    <cfRule type="expression" dxfId="73" priority="6" stopIfTrue="1">
      <formula>UPPER(B5)="F"</formula>
    </cfRule>
  </conditionalFormatting>
  <dataValidations count="1">
    <dataValidation type="list" allowBlank="1" showErrorMessage="1" errorTitle="Kürzel" error="Bitte U, H, K, S, Z oder F eintragen." sqref="B5:AF34" xr:uid="{00000000-0002-0000-0500-000000000000}">
      <formula1>"U,H,K,S,Z,F"</formula1>
    </dataValidation>
  </dataValidations>
  <pageMargins left="0.75" right="0.75" top="1" bottom="1" header="0.5" footer="0.5"/>
  <pageSetup fitToHeight="0" orientation="landscape"/>
  <headerFooter>
    <oddFooter>&amp;C&amp;8 &amp;K686E70Vorlage von seminaron.de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J37"/>
  <sheetViews>
    <sheetView showGridLines="0" zoomScale="9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4" customWidth="1"/>
    <col min="2" max="32" width="4.140625" customWidth="1"/>
    <col min="33" max="33" width="1.42578125" customWidth="1"/>
    <col min="34" max="36" width="8.42578125" customWidth="1"/>
  </cols>
  <sheetData>
    <row r="1" spans="1:36" ht="23.25" x14ac:dyDescent="0.35">
      <c r="A1" s="18" t="str">
        <f>"Mai "&amp;Jahr&amp;IF(Firma="",""," · "&amp;Firma)</f>
        <v>Mai 2027</v>
      </c>
    </row>
    <row r="2" spans="1:36" hidden="1" x14ac:dyDescent="0.25">
      <c r="A2" s="26" t="s">
        <v>55</v>
      </c>
      <c r="B2" s="27">
        <f t="shared" ref="B2:AF2" si="0">IF(B3="",0,IF(WEEKDAY(B3,2)&gt;5,0,IF(COUNTIF(Feiertage_aktiv,B3)&gt;0,0,1)))</f>
        <v>0</v>
      </c>
      <c r="C2" s="27">
        <f t="shared" si="0"/>
        <v>0</v>
      </c>
      <c r="D2" s="27">
        <f t="shared" si="0"/>
        <v>1</v>
      </c>
      <c r="E2" s="27">
        <f t="shared" si="0"/>
        <v>1</v>
      </c>
      <c r="F2" s="27">
        <f t="shared" si="0"/>
        <v>1</v>
      </c>
      <c r="G2" s="27">
        <f t="shared" si="0"/>
        <v>0</v>
      </c>
      <c r="H2" s="27">
        <f t="shared" si="0"/>
        <v>1</v>
      </c>
      <c r="I2" s="27">
        <f t="shared" si="0"/>
        <v>0</v>
      </c>
      <c r="J2" s="27">
        <f t="shared" si="0"/>
        <v>0</v>
      </c>
      <c r="K2" s="27">
        <f t="shared" si="0"/>
        <v>1</v>
      </c>
      <c r="L2" s="27">
        <f t="shared" si="0"/>
        <v>1</v>
      </c>
      <c r="M2" s="27">
        <f t="shared" si="0"/>
        <v>1</v>
      </c>
      <c r="N2" s="27">
        <f t="shared" si="0"/>
        <v>1</v>
      </c>
      <c r="O2" s="27">
        <f t="shared" si="0"/>
        <v>1</v>
      </c>
      <c r="P2" s="27">
        <f t="shared" si="0"/>
        <v>0</v>
      </c>
      <c r="Q2" s="27">
        <f t="shared" si="0"/>
        <v>0</v>
      </c>
      <c r="R2" s="27">
        <f t="shared" si="0"/>
        <v>0</v>
      </c>
      <c r="S2" s="27">
        <f t="shared" si="0"/>
        <v>1</v>
      </c>
      <c r="T2" s="27">
        <f t="shared" si="0"/>
        <v>1</v>
      </c>
      <c r="U2" s="27">
        <f t="shared" si="0"/>
        <v>1</v>
      </c>
      <c r="V2" s="27">
        <f t="shared" si="0"/>
        <v>1</v>
      </c>
      <c r="W2" s="27">
        <f t="shared" si="0"/>
        <v>0</v>
      </c>
      <c r="X2" s="27">
        <f t="shared" si="0"/>
        <v>0</v>
      </c>
      <c r="Y2" s="27">
        <f t="shared" si="0"/>
        <v>1</v>
      </c>
      <c r="Z2" s="27">
        <f t="shared" si="0"/>
        <v>1</v>
      </c>
      <c r="AA2" s="27">
        <f t="shared" si="0"/>
        <v>1</v>
      </c>
      <c r="AB2" s="27">
        <f t="shared" si="0"/>
        <v>0</v>
      </c>
      <c r="AC2" s="27">
        <f t="shared" si="0"/>
        <v>1</v>
      </c>
      <c r="AD2" s="27">
        <f t="shared" si="0"/>
        <v>0</v>
      </c>
      <c r="AE2" s="27">
        <f t="shared" si="0"/>
        <v>0</v>
      </c>
      <c r="AF2" s="27">
        <f t="shared" si="0"/>
        <v>1</v>
      </c>
    </row>
    <row r="3" spans="1:36" x14ac:dyDescent="0.25">
      <c r="A3" s="17" t="str">
        <f>"Bundesland: "&amp;Bundesland</f>
        <v>Bundesland: Nordrhein-Westfalen</v>
      </c>
      <c r="B3" s="28">
        <f>IF(MONTH(DATE(Jahr,5,1))=5,DATE(Jahr,5,1),"")</f>
        <v>46508</v>
      </c>
      <c r="C3" s="28">
        <f>IF(MONTH(DATE(Jahr,5,2))=5,DATE(Jahr,5,2),"")</f>
        <v>46509</v>
      </c>
      <c r="D3" s="28">
        <f>IF(MONTH(DATE(Jahr,5,3))=5,DATE(Jahr,5,3),"")</f>
        <v>46510</v>
      </c>
      <c r="E3" s="28">
        <f>IF(MONTH(DATE(Jahr,5,4))=5,DATE(Jahr,5,4),"")</f>
        <v>46511</v>
      </c>
      <c r="F3" s="28">
        <f>IF(MONTH(DATE(Jahr,5,5))=5,DATE(Jahr,5,5),"")</f>
        <v>46512</v>
      </c>
      <c r="G3" s="28">
        <f>IF(MONTH(DATE(Jahr,5,6))=5,DATE(Jahr,5,6),"")</f>
        <v>46513</v>
      </c>
      <c r="H3" s="28">
        <f>IF(MONTH(DATE(Jahr,5,7))=5,DATE(Jahr,5,7),"")</f>
        <v>46514</v>
      </c>
      <c r="I3" s="28">
        <f>IF(MONTH(DATE(Jahr,5,8))=5,DATE(Jahr,5,8),"")</f>
        <v>46515</v>
      </c>
      <c r="J3" s="28">
        <f>IF(MONTH(DATE(Jahr,5,9))=5,DATE(Jahr,5,9),"")</f>
        <v>46516</v>
      </c>
      <c r="K3" s="28">
        <f>IF(MONTH(DATE(Jahr,5,10))=5,DATE(Jahr,5,10),"")</f>
        <v>46517</v>
      </c>
      <c r="L3" s="28">
        <f>IF(MONTH(DATE(Jahr,5,11))=5,DATE(Jahr,5,11),"")</f>
        <v>46518</v>
      </c>
      <c r="M3" s="28">
        <f>IF(MONTH(DATE(Jahr,5,12))=5,DATE(Jahr,5,12),"")</f>
        <v>46519</v>
      </c>
      <c r="N3" s="28">
        <f>IF(MONTH(DATE(Jahr,5,13))=5,DATE(Jahr,5,13),"")</f>
        <v>46520</v>
      </c>
      <c r="O3" s="28">
        <f>IF(MONTH(DATE(Jahr,5,14))=5,DATE(Jahr,5,14),"")</f>
        <v>46521</v>
      </c>
      <c r="P3" s="28">
        <f>IF(MONTH(DATE(Jahr,5,15))=5,DATE(Jahr,5,15),"")</f>
        <v>46522</v>
      </c>
      <c r="Q3" s="28">
        <f>IF(MONTH(DATE(Jahr,5,16))=5,DATE(Jahr,5,16),"")</f>
        <v>46523</v>
      </c>
      <c r="R3" s="28">
        <f>IF(MONTH(DATE(Jahr,5,17))=5,DATE(Jahr,5,17),"")</f>
        <v>46524</v>
      </c>
      <c r="S3" s="28">
        <f>IF(MONTH(DATE(Jahr,5,18))=5,DATE(Jahr,5,18),"")</f>
        <v>46525</v>
      </c>
      <c r="T3" s="28">
        <f>IF(MONTH(DATE(Jahr,5,19))=5,DATE(Jahr,5,19),"")</f>
        <v>46526</v>
      </c>
      <c r="U3" s="28">
        <f>IF(MONTH(DATE(Jahr,5,20))=5,DATE(Jahr,5,20),"")</f>
        <v>46527</v>
      </c>
      <c r="V3" s="28">
        <f>IF(MONTH(DATE(Jahr,5,21))=5,DATE(Jahr,5,21),"")</f>
        <v>46528</v>
      </c>
      <c r="W3" s="28">
        <f>IF(MONTH(DATE(Jahr,5,22))=5,DATE(Jahr,5,22),"")</f>
        <v>46529</v>
      </c>
      <c r="X3" s="28">
        <f>IF(MONTH(DATE(Jahr,5,23))=5,DATE(Jahr,5,23),"")</f>
        <v>46530</v>
      </c>
      <c r="Y3" s="28">
        <f>IF(MONTH(DATE(Jahr,5,24))=5,DATE(Jahr,5,24),"")</f>
        <v>46531</v>
      </c>
      <c r="Z3" s="28">
        <f>IF(MONTH(DATE(Jahr,5,25))=5,DATE(Jahr,5,25),"")</f>
        <v>46532</v>
      </c>
      <c r="AA3" s="28">
        <f>IF(MONTH(DATE(Jahr,5,26))=5,DATE(Jahr,5,26),"")</f>
        <v>46533</v>
      </c>
      <c r="AB3" s="28">
        <f>IF(MONTH(DATE(Jahr,5,27))=5,DATE(Jahr,5,27),"")</f>
        <v>46534</v>
      </c>
      <c r="AC3" s="28">
        <f>IF(MONTH(DATE(Jahr,5,28))=5,DATE(Jahr,5,28),"")</f>
        <v>46535</v>
      </c>
      <c r="AD3" s="28">
        <f>IF(MONTH(DATE(Jahr,5,29))=5,DATE(Jahr,5,29),"")</f>
        <v>46536</v>
      </c>
      <c r="AE3" s="28">
        <f>IF(MONTH(DATE(Jahr,5,30))=5,DATE(Jahr,5,30),"")</f>
        <v>46537</v>
      </c>
      <c r="AF3" s="28">
        <f>IF(MONTH(DATE(Jahr,5,31))=5,DATE(Jahr,5,31),"")</f>
        <v>46538</v>
      </c>
    </row>
    <row r="4" spans="1:36" x14ac:dyDescent="0.25">
      <c r="A4" s="29" t="s">
        <v>38</v>
      </c>
      <c r="B4" s="30">
        <f t="shared" ref="B4:AF4" si="1">B3</f>
        <v>46508</v>
      </c>
      <c r="C4" s="30">
        <f t="shared" si="1"/>
        <v>46509</v>
      </c>
      <c r="D4" s="30">
        <f t="shared" si="1"/>
        <v>46510</v>
      </c>
      <c r="E4" s="30">
        <f t="shared" si="1"/>
        <v>46511</v>
      </c>
      <c r="F4" s="30">
        <f t="shared" si="1"/>
        <v>46512</v>
      </c>
      <c r="G4" s="30">
        <f t="shared" si="1"/>
        <v>46513</v>
      </c>
      <c r="H4" s="30">
        <f t="shared" si="1"/>
        <v>46514</v>
      </c>
      <c r="I4" s="30">
        <f t="shared" si="1"/>
        <v>46515</v>
      </c>
      <c r="J4" s="30">
        <f t="shared" si="1"/>
        <v>46516</v>
      </c>
      <c r="K4" s="30">
        <f t="shared" si="1"/>
        <v>46517</v>
      </c>
      <c r="L4" s="30">
        <f t="shared" si="1"/>
        <v>46518</v>
      </c>
      <c r="M4" s="30">
        <f t="shared" si="1"/>
        <v>46519</v>
      </c>
      <c r="N4" s="30">
        <f t="shared" si="1"/>
        <v>46520</v>
      </c>
      <c r="O4" s="30">
        <f t="shared" si="1"/>
        <v>46521</v>
      </c>
      <c r="P4" s="30">
        <f t="shared" si="1"/>
        <v>46522</v>
      </c>
      <c r="Q4" s="30">
        <f t="shared" si="1"/>
        <v>46523</v>
      </c>
      <c r="R4" s="30">
        <f t="shared" si="1"/>
        <v>46524</v>
      </c>
      <c r="S4" s="30">
        <f t="shared" si="1"/>
        <v>46525</v>
      </c>
      <c r="T4" s="30">
        <f t="shared" si="1"/>
        <v>46526</v>
      </c>
      <c r="U4" s="30">
        <f t="shared" si="1"/>
        <v>46527</v>
      </c>
      <c r="V4" s="30">
        <f t="shared" si="1"/>
        <v>46528</v>
      </c>
      <c r="W4" s="30">
        <f t="shared" si="1"/>
        <v>46529</v>
      </c>
      <c r="X4" s="30">
        <f t="shared" si="1"/>
        <v>46530</v>
      </c>
      <c r="Y4" s="30">
        <f t="shared" si="1"/>
        <v>46531</v>
      </c>
      <c r="Z4" s="30">
        <f t="shared" si="1"/>
        <v>46532</v>
      </c>
      <c r="AA4" s="30">
        <f t="shared" si="1"/>
        <v>46533</v>
      </c>
      <c r="AB4" s="30">
        <f t="shared" si="1"/>
        <v>46534</v>
      </c>
      <c r="AC4" s="30">
        <f t="shared" si="1"/>
        <v>46535</v>
      </c>
      <c r="AD4" s="30">
        <f t="shared" si="1"/>
        <v>46536</v>
      </c>
      <c r="AE4" s="30">
        <f t="shared" si="1"/>
        <v>46537</v>
      </c>
      <c r="AF4" s="30">
        <f t="shared" si="1"/>
        <v>46538</v>
      </c>
      <c r="AH4" s="31" t="s">
        <v>56</v>
      </c>
      <c r="AI4" s="31" t="s">
        <v>57</v>
      </c>
      <c r="AJ4" s="31" t="s">
        <v>58</v>
      </c>
    </row>
    <row r="5" spans="1:36" x14ac:dyDescent="0.25">
      <c r="A5" s="32" t="str">
        <f>IF(Mitarbeitende!A5="","",Mitarbeitende!A5)</f>
        <v>Beispiel: Anna Muster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H5" s="34">
        <f t="shared" ref="AH5:AH34" si="2">SUMPRODUCT((B5:AF5="U")*$B$2:$AF$2)+0.5*SUMPRODUCT((B5:AF5="H")*$B$2:$AF$2)</f>
        <v>0</v>
      </c>
      <c r="AI5" s="35">
        <f t="shared" ref="AI5:AI34" si="3">SUMPRODUCT((B5:AF5="K")*$B$2:$AF$2)</f>
        <v>0</v>
      </c>
      <c r="AJ5" s="35">
        <f t="shared" ref="AJ5:AJ34" si="4">SUMPRODUCT((B5:AF5="S")*$B$2:$AF$2)</f>
        <v>0</v>
      </c>
    </row>
    <row r="6" spans="1:36" x14ac:dyDescent="0.25">
      <c r="A6" s="32" t="str">
        <f>IF(Mitarbeitende!A6="","",Mitarbeitende!A6)</f>
        <v>Beispiel: Ben Beispiel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H6" s="34">
        <f t="shared" si="2"/>
        <v>0</v>
      </c>
      <c r="AI6" s="35">
        <f t="shared" si="3"/>
        <v>0</v>
      </c>
      <c r="AJ6" s="35">
        <f t="shared" si="4"/>
        <v>0</v>
      </c>
    </row>
    <row r="7" spans="1:36" x14ac:dyDescent="0.25">
      <c r="A7" s="32" t="str">
        <f>IF(Mitarbeitende!A7="","",Mitarbeitende!A7)</f>
        <v/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H7" s="34">
        <f t="shared" si="2"/>
        <v>0</v>
      </c>
      <c r="AI7" s="35">
        <f t="shared" si="3"/>
        <v>0</v>
      </c>
      <c r="AJ7" s="35">
        <f t="shared" si="4"/>
        <v>0</v>
      </c>
    </row>
    <row r="8" spans="1:36" x14ac:dyDescent="0.25">
      <c r="A8" s="32" t="str">
        <f>IF(Mitarbeitende!A8="","",Mitarbeitende!A8)</f>
        <v/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H8" s="34">
        <f t="shared" si="2"/>
        <v>0</v>
      </c>
      <c r="AI8" s="35">
        <f t="shared" si="3"/>
        <v>0</v>
      </c>
      <c r="AJ8" s="35">
        <f t="shared" si="4"/>
        <v>0</v>
      </c>
    </row>
    <row r="9" spans="1:36" x14ac:dyDescent="0.25">
      <c r="A9" s="32" t="str">
        <f>IF(Mitarbeitende!A9="","",Mitarbeitende!A9)</f>
        <v/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H9" s="34">
        <f t="shared" si="2"/>
        <v>0</v>
      </c>
      <c r="AI9" s="35">
        <f t="shared" si="3"/>
        <v>0</v>
      </c>
      <c r="AJ9" s="35">
        <f t="shared" si="4"/>
        <v>0</v>
      </c>
    </row>
    <row r="10" spans="1:36" x14ac:dyDescent="0.25">
      <c r="A10" s="32" t="str">
        <f>IF(Mitarbeitende!A10="","",Mitarbeitende!A10)</f>
        <v/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H10" s="34">
        <f t="shared" si="2"/>
        <v>0</v>
      </c>
      <c r="AI10" s="35">
        <f t="shared" si="3"/>
        <v>0</v>
      </c>
      <c r="AJ10" s="35">
        <f t="shared" si="4"/>
        <v>0</v>
      </c>
    </row>
    <row r="11" spans="1:36" x14ac:dyDescent="0.25">
      <c r="A11" s="32" t="str">
        <f>IF(Mitarbeitende!A11="","",Mitarbeitende!A11)</f>
        <v/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H11" s="34">
        <f t="shared" si="2"/>
        <v>0</v>
      </c>
      <c r="AI11" s="35">
        <f t="shared" si="3"/>
        <v>0</v>
      </c>
      <c r="AJ11" s="35">
        <f t="shared" si="4"/>
        <v>0</v>
      </c>
    </row>
    <row r="12" spans="1:36" x14ac:dyDescent="0.25">
      <c r="A12" s="32" t="str">
        <f>IF(Mitarbeitende!A12="","",Mitarbeitende!A12)</f>
        <v/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H12" s="34">
        <f t="shared" si="2"/>
        <v>0</v>
      </c>
      <c r="AI12" s="35">
        <f t="shared" si="3"/>
        <v>0</v>
      </c>
      <c r="AJ12" s="35">
        <f t="shared" si="4"/>
        <v>0</v>
      </c>
    </row>
    <row r="13" spans="1:36" x14ac:dyDescent="0.25">
      <c r="A13" s="32" t="str">
        <f>IF(Mitarbeitende!A13="","",Mitarbeitende!A13)</f>
        <v/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H13" s="34">
        <f t="shared" si="2"/>
        <v>0</v>
      </c>
      <c r="AI13" s="35">
        <f t="shared" si="3"/>
        <v>0</v>
      </c>
      <c r="AJ13" s="35">
        <f t="shared" si="4"/>
        <v>0</v>
      </c>
    </row>
    <row r="14" spans="1:36" x14ac:dyDescent="0.25">
      <c r="A14" s="32" t="str">
        <f>IF(Mitarbeitende!A14="","",Mitarbeitende!A14)</f>
        <v/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H14" s="34">
        <f t="shared" si="2"/>
        <v>0</v>
      </c>
      <c r="AI14" s="35">
        <f t="shared" si="3"/>
        <v>0</v>
      </c>
      <c r="AJ14" s="35">
        <f t="shared" si="4"/>
        <v>0</v>
      </c>
    </row>
    <row r="15" spans="1:36" x14ac:dyDescent="0.25">
      <c r="A15" s="32" t="str">
        <f>IF(Mitarbeitende!A15="","",Mitarbeitende!A15)</f>
        <v/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H15" s="34">
        <f t="shared" si="2"/>
        <v>0</v>
      </c>
      <c r="AI15" s="35">
        <f t="shared" si="3"/>
        <v>0</v>
      </c>
      <c r="AJ15" s="35">
        <f t="shared" si="4"/>
        <v>0</v>
      </c>
    </row>
    <row r="16" spans="1:36" x14ac:dyDescent="0.25">
      <c r="A16" s="32" t="str">
        <f>IF(Mitarbeitende!A16="","",Mitarbeitende!A16)</f>
        <v/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H16" s="34">
        <f t="shared" si="2"/>
        <v>0</v>
      </c>
      <c r="AI16" s="35">
        <f t="shared" si="3"/>
        <v>0</v>
      </c>
      <c r="AJ16" s="35">
        <f t="shared" si="4"/>
        <v>0</v>
      </c>
    </row>
    <row r="17" spans="1:36" x14ac:dyDescent="0.25">
      <c r="A17" s="32" t="str">
        <f>IF(Mitarbeitende!A17="","",Mitarbeitende!A17)</f>
        <v/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H17" s="34">
        <f t="shared" si="2"/>
        <v>0</v>
      </c>
      <c r="AI17" s="35">
        <f t="shared" si="3"/>
        <v>0</v>
      </c>
      <c r="AJ17" s="35">
        <f t="shared" si="4"/>
        <v>0</v>
      </c>
    </row>
    <row r="18" spans="1:36" x14ac:dyDescent="0.25">
      <c r="A18" s="32" t="str">
        <f>IF(Mitarbeitende!A18="","",Mitarbeitende!A18)</f>
        <v/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H18" s="34">
        <f t="shared" si="2"/>
        <v>0</v>
      </c>
      <c r="AI18" s="35">
        <f t="shared" si="3"/>
        <v>0</v>
      </c>
      <c r="AJ18" s="35">
        <f t="shared" si="4"/>
        <v>0</v>
      </c>
    </row>
    <row r="19" spans="1:36" x14ac:dyDescent="0.25">
      <c r="A19" s="32" t="str">
        <f>IF(Mitarbeitende!A19="","",Mitarbeitende!A19)</f>
        <v/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H19" s="34">
        <f t="shared" si="2"/>
        <v>0</v>
      </c>
      <c r="AI19" s="35">
        <f t="shared" si="3"/>
        <v>0</v>
      </c>
      <c r="AJ19" s="35">
        <f t="shared" si="4"/>
        <v>0</v>
      </c>
    </row>
    <row r="20" spans="1:36" x14ac:dyDescent="0.25">
      <c r="A20" s="32" t="str">
        <f>IF(Mitarbeitende!A20="","",Mitarbeitende!A20)</f>
        <v/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H20" s="34">
        <f t="shared" si="2"/>
        <v>0</v>
      </c>
      <c r="AI20" s="35">
        <f t="shared" si="3"/>
        <v>0</v>
      </c>
      <c r="AJ20" s="35">
        <f t="shared" si="4"/>
        <v>0</v>
      </c>
    </row>
    <row r="21" spans="1:36" x14ac:dyDescent="0.25">
      <c r="A21" s="32" t="str">
        <f>IF(Mitarbeitende!A21="","",Mitarbeitende!A21)</f>
        <v/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H21" s="34">
        <f t="shared" si="2"/>
        <v>0</v>
      </c>
      <c r="AI21" s="35">
        <f t="shared" si="3"/>
        <v>0</v>
      </c>
      <c r="AJ21" s="35">
        <f t="shared" si="4"/>
        <v>0</v>
      </c>
    </row>
    <row r="22" spans="1:36" x14ac:dyDescent="0.25">
      <c r="A22" s="32" t="str">
        <f>IF(Mitarbeitende!A22="","",Mitarbeitende!A22)</f>
        <v/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H22" s="34">
        <f t="shared" si="2"/>
        <v>0</v>
      </c>
      <c r="AI22" s="35">
        <f t="shared" si="3"/>
        <v>0</v>
      </c>
      <c r="AJ22" s="35">
        <f t="shared" si="4"/>
        <v>0</v>
      </c>
    </row>
    <row r="23" spans="1:36" x14ac:dyDescent="0.25">
      <c r="A23" s="32" t="str">
        <f>IF(Mitarbeitende!A23="","",Mitarbeitende!A23)</f>
        <v/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H23" s="34">
        <f t="shared" si="2"/>
        <v>0</v>
      </c>
      <c r="AI23" s="35">
        <f t="shared" si="3"/>
        <v>0</v>
      </c>
      <c r="AJ23" s="35">
        <f t="shared" si="4"/>
        <v>0</v>
      </c>
    </row>
    <row r="24" spans="1:36" x14ac:dyDescent="0.25">
      <c r="A24" s="32" t="str">
        <f>IF(Mitarbeitende!A24="","",Mitarbeitende!A24)</f>
        <v/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H24" s="34">
        <f t="shared" si="2"/>
        <v>0</v>
      </c>
      <c r="AI24" s="35">
        <f t="shared" si="3"/>
        <v>0</v>
      </c>
      <c r="AJ24" s="35">
        <f t="shared" si="4"/>
        <v>0</v>
      </c>
    </row>
    <row r="25" spans="1:36" x14ac:dyDescent="0.25">
      <c r="A25" s="32" t="str">
        <f>IF(Mitarbeitende!A25="","",Mitarbeitende!A25)</f>
        <v/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H25" s="34">
        <f t="shared" si="2"/>
        <v>0</v>
      </c>
      <c r="AI25" s="35">
        <f t="shared" si="3"/>
        <v>0</v>
      </c>
      <c r="AJ25" s="35">
        <f t="shared" si="4"/>
        <v>0</v>
      </c>
    </row>
    <row r="26" spans="1:36" x14ac:dyDescent="0.25">
      <c r="A26" s="32" t="str">
        <f>IF(Mitarbeitende!A26="","",Mitarbeitende!A26)</f>
        <v/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H26" s="34">
        <f t="shared" si="2"/>
        <v>0</v>
      </c>
      <c r="AI26" s="35">
        <f t="shared" si="3"/>
        <v>0</v>
      </c>
      <c r="AJ26" s="35">
        <f t="shared" si="4"/>
        <v>0</v>
      </c>
    </row>
    <row r="27" spans="1:36" x14ac:dyDescent="0.25">
      <c r="A27" s="32" t="str">
        <f>IF(Mitarbeitende!A27="","",Mitarbeitende!A27)</f>
        <v/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H27" s="34">
        <f t="shared" si="2"/>
        <v>0</v>
      </c>
      <c r="AI27" s="35">
        <f t="shared" si="3"/>
        <v>0</v>
      </c>
      <c r="AJ27" s="35">
        <f t="shared" si="4"/>
        <v>0</v>
      </c>
    </row>
    <row r="28" spans="1:36" x14ac:dyDescent="0.25">
      <c r="A28" s="32" t="str">
        <f>IF(Mitarbeitende!A28="","",Mitarbeitende!A28)</f>
        <v/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H28" s="34">
        <f t="shared" si="2"/>
        <v>0</v>
      </c>
      <c r="AI28" s="35">
        <f t="shared" si="3"/>
        <v>0</v>
      </c>
      <c r="AJ28" s="35">
        <f t="shared" si="4"/>
        <v>0</v>
      </c>
    </row>
    <row r="29" spans="1:36" x14ac:dyDescent="0.25">
      <c r="A29" s="32" t="str">
        <f>IF(Mitarbeitende!A29="","",Mitarbeitende!A29)</f>
        <v/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H29" s="34">
        <f t="shared" si="2"/>
        <v>0</v>
      </c>
      <c r="AI29" s="35">
        <f t="shared" si="3"/>
        <v>0</v>
      </c>
      <c r="AJ29" s="35">
        <f t="shared" si="4"/>
        <v>0</v>
      </c>
    </row>
    <row r="30" spans="1:36" x14ac:dyDescent="0.25">
      <c r="A30" s="32" t="str">
        <f>IF(Mitarbeitende!A30="","",Mitarbeitende!A30)</f>
        <v/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H30" s="34">
        <f t="shared" si="2"/>
        <v>0</v>
      </c>
      <c r="AI30" s="35">
        <f t="shared" si="3"/>
        <v>0</v>
      </c>
      <c r="AJ30" s="35">
        <f t="shared" si="4"/>
        <v>0</v>
      </c>
    </row>
    <row r="31" spans="1:36" x14ac:dyDescent="0.25">
      <c r="A31" s="32" t="str">
        <f>IF(Mitarbeitende!A31="","",Mitarbeitende!A31)</f>
        <v/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H31" s="34">
        <f t="shared" si="2"/>
        <v>0</v>
      </c>
      <c r="AI31" s="35">
        <f t="shared" si="3"/>
        <v>0</v>
      </c>
      <c r="AJ31" s="35">
        <f t="shared" si="4"/>
        <v>0</v>
      </c>
    </row>
    <row r="32" spans="1:36" x14ac:dyDescent="0.25">
      <c r="A32" s="32" t="str">
        <f>IF(Mitarbeitende!A32="","",Mitarbeitende!A32)</f>
        <v/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H32" s="34">
        <f t="shared" si="2"/>
        <v>0</v>
      </c>
      <c r="AI32" s="35">
        <f t="shared" si="3"/>
        <v>0</v>
      </c>
      <c r="AJ32" s="35">
        <f t="shared" si="4"/>
        <v>0</v>
      </c>
    </row>
    <row r="33" spans="1:36" x14ac:dyDescent="0.25">
      <c r="A33" s="32" t="str">
        <f>IF(Mitarbeitende!A33="","",Mitarbeitende!A33)</f>
        <v/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H33" s="34">
        <f t="shared" si="2"/>
        <v>0</v>
      </c>
      <c r="AI33" s="35">
        <f t="shared" si="3"/>
        <v>0</v>
      </c>
      <c r="AJ33" s="35">
        <f t="shared" si="4"/>
        <v>0</v>
      </c>
    </row>
    <row r="34" spans="1:36" x14ac:dyDescent="0.25">
      <c r="A34" s="32" t="str">
        <f>IF(Mitarbeitende!A34="","",Mitarbeitende!A34)</f>
        <v/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H34" s="34">
        <f t="shared" si="2"/>
        <v>0</v>
      </c>
      <c r="AI34" s="35">
        <f t="shared" si="3"/>
        <v>0</v>
      </c>
      <c r="AJ34" s="35">
        <f t="shared" si="4"/>
        <v>0</v>
      </c>
    </row>
    <row r="36" spans="1:36" x14ac:dyDescent="0.25">
      <c r="A36" s="17" t="str">
        <f>"Arbeitstage im Monat: "&amp;SUM(B2:AF2)</f>
        <v>Arbeitstage im Monat: 18</v>
      </c>
    </row>
    <row r="37" spans="1:36" x14ac:dyDescent="0.25">
      <c r="A37" s="17" t="s">
        <v>59</v>
      </c>
    </row>
  </sheetData>
  <conditionalFormatting sqref="B3:AF34">
    <cfRule type="expression" dxfId="72" priority="7">
      <formula>B$3=""</formula>
    </cfRule>
    <cfRule type="expression" dxfId="71" priority="8">
      <formula>AND(B$3&lt;&gt;"",COUNTIF(Feiertage_aktiv,B$3)&gt;0)</formula>
    </cfRule>
    <cfRule type="expression" dxfId="70" priority="9">
      <formula>AND(B$3&lt;&gt;"",WEEKDAY(B$3,2)&gt;5)</formula>
    </cfRule>
  </conditionalFormatting>
  <conditionalFormatting sqref="B5:AF34">
    <cfRule type="expression" dxfId="69" priority="1" stopIfTrue="1">
      <formula>UPPER(B5)="U"</formula>
    </cfRule>
    <cfRule type="expression" dxfId="68" priority="2" stopIfTrue="1">
      <formula>UPPER(B5)="H"</formula>
    </cfRule>
    <cfRule type="expression" dxfId="67" priority="3" stopIfTrue="1">
      <formula>UPPER(B5)="K"</formula>
    </cfRule>
    <cfRule type="expression" dxfId="66" priority="4" stopIfTrue="1">
      <formula>UPPER(B5)="S"</formula>
    </cfRule>
    <cfRule type="expression" dxfId="65" priority="5" stopIfTrue="1">
      <formula>UPPER(B5)="Z"</formula>
    </cfRule>
    <cfRule type="expression" dxfId="64" priority="6" stopIfTrue="1">
      <formula>UPPER(B5)="F"</formula>
    </cfRule>
  </conditionalFormatting>
  <dataValidations count="1">
    <dataValidation type="list" allowBlank="1" showErrorMessage="1" errorTitle="Kürzel" error="Bitte U, H, K, S, Z oder F eintragen." sqref="B5:AF34" xr:uid="{00000000-0002-0000-0600-000000000000}">
      <formula1>"U,H,K,S,Z,F"</formula1>
    </dataValidation>
  </dataValidations>
  <pageMargins left="0.75" right="0.75" top="1" bottom="1" header="0.5" footer="0.5"/>
  <pageSetup fitToHeight="0" orientation="landscape"/>
  <headerFooter>
    <oddFooter>&amp;C&amp;8 &amp;K686E70Vorlage von seminaron.de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J37"/>
  <sheetViews>
    <sheetView showGridLines="0" zoomScale="9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4" customWidth="1"/>
    <col min="2" max="32" width="4.140625" customWidth="1"/>
    <col min="33" max="33" width="1.42578125" customWidth="1"/>
    <col min="34" max="36" width="8.42578125" customWidth="1"/>
  </cols>
  <sheetData>
    <row r="1" spans="1:36" ht="23.25" x14ac:dyDescent="0.35">
      <c r="A1" s="18" t="str">
        <f>"Juni "&amp;Jahr&amp;IF(Firma="",""," · "&amp;Firma)</f>
        <v>Juni 2027</v>
      </c>
    </row>
    <row r="2" spans="1:36" hidden="1" x14ac:dyDescent="0.25">
      <c r="A2" s="26" t="s">
        <v>55</v>
      </c>
      <c r="B2" s="27">
        <f t="shared" ref="B2:AF2" si="0">IF(B3="",0,IF(WEEKDAY(B3,2)&gt;5,0,IF(COUNTIF(Feiertage_aktiv,B3)&gt;0,0,1)))</f>
        <v>1</v>
      </c>
      <c r="C2" s="27">
        <f t="shared" si="0"/>
        <v>1</v>
      </c>
      <c r="D2" s="27">
        <f t="shared" si="0"/>
        <v>1</v>
      </c>
      <c r="E2" s="27">
        <f t="shared" si="0"/>
        <v>1</v>
      </c>
      <c r="F2" s="27">
        <f t="shared" si="0"/>
        <v>0</v>
      </c>
      <c r="G2" s="27">
        <f t="shared" si="0"/>
        <v>0</v>
      </c>
      <c r="H2" s="27">
        <f t="shared" si="0"/>
        <v>1</v>
      </c>
      <c r="I2" s="27">
        <f t="shared" si="0"/>
        <v>1</v>
      </c>
      <c r="J2" s="27">
        <f t="shared" si="0"/>
        <v>1</v>
      </c>
      <c r="K2" s="27">
        <f t="shared" si="0"/>
        <v>1</v>
      </c>
      <c r="L2" s="27">
        <f t="shared" si="0"/>
        <v>1</v>
      </c>
      <c r="M2" s="27">
        <f t="shared" si="0"/>
        <v>0</v>
      </c>
      <c r="N2" s="27">
        <f t="shared" si="0"/>
        <v>0</v>
      </c>
      <c r="O2" s="27">
        <f t="shared" si="0"/>
        <v>1</v>
      </c>
      <c r="P2" s="27">
        <f t="shared" si="0"/>
        <v>1</v>
      </c>
      <c r="Q2" s="27">
        <f t="shared" si="0"/>
        <v>1</v>
      </c>
      <c r="R2" s="27">
        <f t="shared" si="0"/>
        <v>1</v>
      </c>
      <c r="S2" s="27">
        <f t="shared" si="0"/>
        <v>1</v>
      </c>
      <c r="T2" s="27">
        <f t="shared" si="0"/>
        <v>0</v>
      </c>
      <c r="U2" s="27">
        <f t="shared" si="0"/>
        <v>0</v>
      </c>
      <c r="V2" s="27">
        <f t="shared" si="0"/>
        <v>1</v>
      </c>
      <c r="W2" s="27">
        <f t="shared" si="0"/>
        <v>1</v>
      </c>
      <c r="X2" s="27">
        <f t="shared" si="0"/>
        <v>1</v>
      </c>
      <c r="Y2" s="27">
        <f t="shared" si="0"/>
        <v>1</v>
      </c>
      <c r="Z2" s="27">
        <f t="shared" si="0"/>
        <v>1</v>
      </c>
      <c r="AA2" s="27">
        <f t="shared" si="0"/>
        <v>0</v>
      </c>
      <c r="AB2" s="27">
        <f t="shared" si="0"/>
        <v>0</v>
      </c>
      <c r="AC2" s="27">
        <f t="shared" si="0"/>
        <v>1</v>
      </c>
      <c r="AD2" s="27">
        <f t="shared" si="0"/>
        <v>1</v>
      </c>
      <c r="AE2" s="27">
        <f t="shared" si="0"/>
        <v>1</v>
      </c>
      <c r="AF2" s="27">
        <f t="shared" si="0"/>
        <v>0</v>
      </c>
    </row>
    <row r="3" spans="1:36" x14ac:dyDescent="0.25">
      <c r="A3" s="17" t="str">
        <f>"Bundesland: "&amp;Bundesland</f>
        <v>Bundesland: Nordrhein-Westfalen</v>
      </c>
      <c r="B3" s="28">
        <f>IF(MONTH(DATE(Jahr,6,1))=6,DATE(Jahr,6,1),"")</f>
        <v>46539</v>
      </c>
      <c r="C3" s="28">
        <f>IF(MONTH(DATE(Jahr,6,2))=6,DATE(Jahr,6,2),"")</f>
        <v>46540</v>
      </c>
      <c r="D3" s="28">
        <f>IF(MONTH(DATE(Jahr,6,3))=6,DATE(Jahr,6,3),"")</f>
        <v>46541</v>
      </c>
      <c r="E3" s="28">
        <f>IF(MONTH(DATE(Jahr,6,4))=6,DATE(Jahr,6,4),"")</f>
        <v>46542</v>
      </c>
      <c r="F3" s="28">
        <f>IF(MONTH(DATE(Jahr,6,5))=6,DATE(Jahr,6,5),"")</f>
        <v>46543</v>
      </c>
      <c r="G3" s="28">
        <f>IF(MONTH(DATE(Jahr,6,6))=6,DATE(Jahr,6,6),"")</f>
        <v>46544</v>
      </c>
      <c r="H3" s="28">
        <f>IF(MONTH(DATE(Jahr,6,7))=6,DATE(Jahr,6,7),"")</f>
        <v>46545</v>
      </c>
      <c r="I3" s="28">
        <f>IF(MONTH(DATE(Jahr,6,8))=6,DATE(Jahr,6,8),"")</f>
        <v>46546</v>
      </c>
      <c r="J3" s="28">
        <f>IF(MONTH(DATE(Jahr,6,9))=6,DATE(Jahr,6,9),"")</f>
        <v>46547</v>
      </c>
      <c r="K3" s="28">
        <f>IF(MONTH(DATE(Jahr,6,10))=6,DATE(Jahr,6,10),"")</f>
        <v>46548</v>
      </c>
      <c r="L3" s="28">
        <f>IF(MONTH(DATE(Jahr,6,11))=6,DATE(Jahr,6,11),"")</f>
        <v>46549</v>
      </c>
      <c r="M3" s="28">
        <f>IF(MONTH(DATE(Jahr,6,12))=6,DATE(Jahr,6,12),"")</f>
        <v>46550</v>
      </c>
      <c r="N3" s="28">
        <f>IF(MONTH(DATE(Jahr,6,13))=6,DATE(Jahr,6,13),"")</f>
        <v>46551</v>
      </c>
      <c r="O3" s="28">
        <f>IF(MONTH(DATE(Jahr,6,14))=6,DATE(Jahr,6,14),"")</f>
        <v>46552</v>
      </c>
      <c r="P3" s="28">
        <f>IF(MONTH(DATE(Jahr,6,15))=6,DATE(Jahr,6,15),"")</f>
        <v>46553</v>
      </c>
      <c r="Q3" s="28">
        <f>IF(MONTH(DATE(Jahr,6,16))=6,DATE(Jahr,6,16),"")</f>
        <v>46554</v>
      </c>
      <c r="R3" s="28">
        <f>IF(MONTH(DATE(Jahr,6,17))=6,DATE(Jahr,6,17),"")</f>
        <v>46555</v>
      </c>
      <c r="S3" s="28">
        <f>IF(MONTH(DATE(Jahr,6,18))=6,DATE(Jahr,6,18),"")</f>
        <v>46556</v>
      </c>
      <c r="T3" s="28">
        <f>IF(MONTH(DATE(Jahr,6,19))=6,DATE(Jahr,6,19),"")</f>
        <v>46557</v>
      </c>
      <c r="U3" s="28">
        <f>IF(MONTH(DATE(Jahr,6,20))=6,DATE(Jahr,6,20),"")</f>
        <v>46558</v>
      </c>
      <c r="V3" s="28">
        <f>IF(MONTH(DATE(Jahr,6,21))=6,DATE(Jahr,6,21),"")</f>
        <v>46559</v>
      </c>
      <c r="W3" s="28">
        <f>IF(MONTH(DATE(Jahr,6,22))=6,DATE(Jahr,6,22),"")</f>
        <v>46560</v>
      </c>
      <c r="X3" s="28">
        <f>IF(MONTH(DATE(Jahr,6,23))=6,DATE(Jahr,6,23),"")</f>
        <v>46561</v>
      </c>
      <c r="Y3" s="28">
        <f>IF(MONTH(DATE(Jahr,6,24))=6,DATE(Jahr,6,24),"")</f>
        <v>46562</v>
      </c>
      <c r="Z3" s="28">
        <f>IF(MONTH(DATE(Jahr,6,25))=6,DATE(Jahr,6,25),"")</f>
        <v>46563</v>
      </c>
      <c r="AA3" s="28">
        <f>IF(MONTH(DATE(Jahr,6,26))=6,DATE(Jahr,6,26),"")</f>
        <v>46564</v>
      </c>
      <c r="AB3" s="28">
        <f>IF(MONTH(DATE(Jahr,6,27))=6,DATE(Jahr,6,27),"")</f>
        <v>46565</v>
      </c>
      <c r="AC3" s="28">
        <f>IF(MONTH(DATE(Jahr,6,28))=6,DATE(Jahr,6,28),"")</f>
        <v>46566</v>
      </c>
      <c r="AD3" s="28">
        <f>IF(MONTH(DATE(Jahr,6,29))=6,DATE(Jahr,6,29),"")</f>
        <v>46567</v>
      </c>
      <c r="AE3" s="28">
        <f>IF(MONTH(DATE(Jahr,6,30))=6,DATE(Jahr,6,30),"")</f>
        <v>46568</v>
      </c>
      <c r="AF3" s="28" t="str">
        <f>IF(MONTH(DATE(Jahr,6,31))=6,DATE(Jahr,6,31),"")</f>
        <v/>
      </c>
    </row>
    <row r="4" spans="1:36" x14ac:dyDescent="0.25">
      <c r="A4" s="29" t="s">
        <v>38</v>
      </c>
      <c r="B4" s="30">
        <f t="shared" ref="B4:AF4" si="1">B3</f>
        <v>46539</v>
      </c>
      <c r="C4" s="30">
        <f t="shared" si="1"/>
        <v>46540</v>
      </c>
      <c r="D4" s="30">
        <f t="shared" si="1"/>
        <v>46541</v>
      </c>
      <c r="E4" s="30">
        <f t="shared" si="1"/>
        <v>46542</v>
      </c>
      <c r="F4" s="30">
        <f t="shared" si="1"/>
        <v>46543</v>
      </c>
      <c r="G4" s="30">
        <f t="shared" si="1"/>
        <v>46544</v>
      </c>
      <c r="H4" s="30">
        <f t="shared" si="1"/>
        <v>46545</v>
      </c>
      <c r="I4" s="30">
        <f t="shared" si="1"/>
        <v>46546</v>
      </c>
      <c r="J4" s="30">
        <f t="shared" si="1"/>
        <v>46547</v>
      </c>
      <c r="K4" s="30">
        <f t="shared" si="1"/>
        <v>46548</v>
      </c>
      <c r="L4" s="30">
        <f t="shared" si="1"/>
        <v>46549</v>
      </c>
      <c r="M4" s="30">
        <f t="shared" si="1"/>
        <v>46550</v>
      </c>
      <c r="N4" s="30">
        <f t="shared" si="1"/>
        <v>46551</v>
      </c>
      <c r="O4" s="30">
        <f t="shared" si="1"/>
        <v>46552</v>
      </c>
      <c r="P4" s="30">
        <f t="shared" si="1"/>
        <v>46553</v>
      </c>
      <c r="Q4" s="30">
        <f t="shared" si="1"/>
        <v>46554</v>
      </c>
      <c r="R4" s="30">
        <f t="shared" si="1"/>
        <v>46555</v>
      </c>
      <c r="S4" s="30">
        <f t="shared" si="1"/>
        <v>46556</v>
      </c>
      <c r="T4" s="30">
        <f t="shared" si="1"/>
        <v>46557</v>
      </c>
      <c r="U4" s="30">
        <f t="shared" si="1"/>
        <v>46558</v>
      </c>
      <c r="V4" s="30">
        <f t="shared" si="1"/>
        <v>46559</v>
      </c>
      <c r="W4" s="30">
        <f t="shared" si="1"/>
        <v>46560</v>
      </c>
      <c r="X4" s="30">
        <f t="shared" si="1"/>
        <v>46561</v>
      </c>
      <c r="Y4" s="30">
        <f t="shared" si="1"/>
        <v>46562</v>
      </c>
      <c r="Z4" s="30">
        <f t="shared" si="1"/>
        <v>46563</v>
      </c>
      <c r="AA4" s="30">
        <f t="shared" si="1"/>
        <v>46564</v>
      </c>
      <c r="AB4" s="30">
        <f t="shared" si="1"/>
        <v>46565</v>
      </c>
      <c r="AC4" s="30">
        <f t="shared" si="1"/>
        <v>46566</v>
      </c>
      <c r="AD4" s="30">
        <f t="shared" si="1"/>
        <v>46567</v>
      </c>
      <c r="AE4" s="30">
        <f t="shared" si="1"/>
        <v>46568</v>
      </c>
      <c r="AF4" s="30" t="str">
        <f t="shared" si="1"/>
        <v/>
      </c>
      <c r="AH4" s="31" t="s">
        <v>56</v>
      </c>
      <c r="AI4" s="31" t="s">
        <v>57</v>
      </c>
      <c r="AJ4" s="31" t="s">
        <v>58</v>
      </c>
    </row>
    <row r="5" spans="1:36" x14ac:dyDescent="0.25">
      <c r="A5" s="32" t="str">
        <f>IF(Mitarbeitende!A5="","",Mitarbeitende!A5)</f>
        <v>Beispiel: Anna Muster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H5" s="34">
        <f t="shared" ref="AH5:AH34" si="2">SUMPRODUCT((B5:AF5="U")*$B$2:$AF$2)+0.5*SUMPRODUCT((B5:AF5="H")*$B$2:$AF$2)</f>
        <v>0</v>
      </c>
      <c r="AI5" s="35">
        <f t="shared" ref="AI5:AI34" si="3">SUMPRODUCT((B5:AF5="K")*$B$2:$AF$2)</f>
        <v>0</v>
      </c>
      <c r="AJ5" s="35">
        <f t="shared" ref="AJ5:AJ34" si="4">SUMPRODUCT((B5:AF5="S")*$B$2:$AF$2)</f>
        <v>0</v>
      </c>
    </row>
    <row r="6" spans="1:36" x14ac:dyDescent="0.25">
      <c r="A6" s="32" t="str">
        <f>IF(Mitarbeitende!A6="","",Mitarbeitende!A6)</f>
        <v>Beispiel: Ben Beispiel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H6" s="34">
        <f t="shared" si="2"/>
        <v>0</v>
      </c>
      <c r="AI6" s="35">
        <f t="shared" si="3"/>
        <v>0</v>
      </c>
      <c r="AJ6" s="35">
        <f t="shared" si="4"/>
        <v>0</v>
      </c>
    </row>
    <row r="7" spans="1:36" x14ac:dyDescent="0.25">
      <c r="A7" s="32" t="str">
        <f>IF(Mitarbeitende!A7="","",Mitarbeitende!A7)</f>
        <v/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H7" s="34">
        <f t="shared" si="2"/>
        <v>0</v>
      </c>
      <c r="AI7" s="35">
        <f t="shared" si="3"/>
        <v>0</v>
      </c>
      <c r="AJ7" s="35">
        <f t="shared" si="4"/>
        <v>0</v>
      </c>
    </row>
    <row r="8" spans="1:36" x14ac:dyDescent="0.25">
      <c r="A8" s="32" t="str">
        <f>IF(Mitarbeitende!A8="","",Mitarbeitende!A8)</f>
        <v/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H8" s="34">
        <f t="shared" si="2"/>
        <v>0</v>
      </c>
      <c r="AI8" s="35">
        <f t="shared" si="3"/>
        <v>0</v>
      </c>
      <c r="AJ8" s="35">
        <f t="shared" si="4"/>
        <v>0</v>
      </c>
    </row>
    <row r="9" spans="1:36" x14ac:dyDescent="0.25">
      <c r="A9" s="32" t="str">
        <f>IF(Mitarbeitende!A9="","",Mitarbeitende!A9)</f>
        <v/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H9" s="34">
        <f t="shared" si="2"/>
        <v>0</v>
      </c>
      <c r="AI9" s="35">
        <f t="shared" si="3"/>
        <v>0</v>
      </c>
      <c r="AJ9" s="35">
        <f t="shared" si="4"/>
        <v>0</v>
      </c>
    </row>
    <row r="10" spans="1:36" x14ac:dyDescent="0.25">
      <c r="A10" s="32" t="str">
        <f>IF(Mitarbeitende!A10="","",Mitarbeitende!A10)</f>
        <v/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H10" s="34">
        <f t="shared" si="2"/>
        <v>0</v>
      </c>
      <c r="AI10" s="35">
        <f t="shared" si="3"/>
        <v>0</v>
      </c>
      <c r="AJ10" s="35">
        <f t="shared" si="4"/>
        <v>0</v>
      </c>
    </row>
    <row r="11" spans="1:36" x14ac:dyDescent="0.25">
      <c r="A11" s="32" t="str">
        <f>IF(Mitarbeitende!A11="","",Mitarbeitende!A11)</f>
        <v/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H11" s="34">
        <f t="shared" si="2"/>
        <v>0</v>
      </c>
      <c r="AI11" s="35">
        <f t="shared" si="3"/>
        <v>0</v>
      </c>
      <c r="AJ11" s="35">
        <f t="shared" si="4"/>
        <v>0</v>
      </c>
    </row>
    <row r="12" spans="1:36" x14ac:dyDescent="0.25">
      <c r="A12" s="32" t="str">
        <f>IF(Mitarbeitende!A12="","",Mitarbeitende!A12)</f>
        <v/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H12" s="34">
        <f t="shared" si="2"/>
        <v>0</v>
      </c>
      <c r="AI12" s="35">
        <f t="shared" si="3"/>
        <v>0</v>
      </c>
      <c r="AJ12" s="35">
        <f t="shared" si="4"/>
        <v>0</v>
      </c>
    </row>
    <row r="13" spans="1:36" x14ac:dyDescent="0.25">
      <c r="A13" s="32" t="str">
        <f>IF(Mitarbeitende!A13="","",Mitarbeitende!A13)</f>
        <v/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H13" s="34">
        <f t="shared" si="2"/>
        <v>0</v>
      </c>
      <c r="AI13" s="35">
        <f t="shared" si="3"/>
        <v>0</v>
      </c>
      <c r="AJ13" s="35">
        <f t="shared" si="4"/>
        <v>0</v>
      </c>
    </row>
    <row r="14" spans="1:36" x14ac:dyDescent="0.25">
      <c r="A14" s="32" t="str">
        <f>IF(Mitarbeitende!A14="","",Mitarbeitende!A14)</f>
        <v/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H14" s="34">
        <f t="shared" si="2"/>
        <v>0</v>
      </c>
      <c r="AI14" s="35">
        <f t="shared" si="3"/>
        <v>0</v>
      </c>
      <c r="AJ14" s="35">
        <f t="shared" si="4"/>
        <v>0</v>
      </c>
    </row>
    <row r="15" spans="1:36" x14ac:dyDescent="0.25">
      <c r="A15" s="32" t="str">
        <f>IF(Mitarbeitende!A15="","",Mitarbeitende!A15)</f>
        <v/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H15" s="34">
        <f t="shared" si="2"/>
        <v>0</v>
      </c>
      <c r="AI15" s="35">
        <f t="shared" si="3"/>
        <v>0</v>
      </c>
      <c r="AJ15" s="35">
        <f t="shared" si="4"/>
        <v>0</v>
      </c>
    </row>
    <row r="16" spans="1:36" x14ac:dyDescent="0.25">
      <c r="A16" s="32" t="str">
        <f>IF(Mitarbeitende!A16="","",Mitarbeitende!A16)</f>
        <v/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H16" s="34">
        <f t="shared" si="2"/>
        <v>0</v>
      </c>
      <c r="AI16" s="35">
        <f t="shared" si="3"/>
        <v>0</v>
      </c>
      <c r="AJ16" s="35">
        <f t="shared" si="4"/>
        <v>0</v>
      </c>
    </row>
    <row r="17" spans="1:36" x14ac:dyDescent="0.25">
      <c r="A17" s="32" t="str">
        <f>IF(Mitarbeitende!A17="","",Mitarbeitende!A17)</f>
        <v/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H17" s="34">
        <f t="shared" si="2"/>
        <v>0</v>
      </c>
      <c r="AI17" s="35">
        <f t="shared" si="3"/>
        <v>0</v>
      </c>
      <c r="AJ17" s="35">
        <f t="shared" si="4"/>
        <v>0</v>
      </c>
    </row>
    <row r="18" spans="1:36" x14ac:dyDescent="0.25">
      <c r="A18" s="32" t="str">
        <f>IF(Mitarbeitende!A18="","",Mitarbeitende!A18)</f>
        <v/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H18" s="34">
        <f t="shared" si="2"/>
        <v>0</v>
      </c>
      <c r="AI18" s="35">
        <f t="shared" si="3"/>
        <v>0</v>
      </c>
      <c r="AJ18" s="35">
        <f t="shared" si="4"/>
        <v>0</v>
      </c>
    </row>
    <row r="19" spans="1:36" x14ac:dyDescent="0.25">
      <c r="A19" s="32" t="str">
        <f>IF(Mitarbeitende!A19="","",Mitarbeitende!A19)</f>
        <v/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H19" s="34">
        <f t="shared" si="2"/>
        <v>0</v>
      </c>
      <c r="AI19" s="35">
        <f t="shared" si="3"/>
        <v>0</v>
      </c>
      <c r="AJ19" s="35">
        <f t="shared" si="4"/>
        <v>0</v>
      </c>
    </row>
    <row r="20" spans="1:36" x14ac:dyDescent="0.25">
      <c r="A20" s="32" t="str">
        <f>IF(Mitarbeitende!A20="","",Mitarbeitende!A20)</f>
        <v/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H20" s="34">
        <f t="shared" si="2"/>
        <v>0</v>
      </c>
      <c r="AI20" s="35">
        <f t="shared" si="3"/>
        <v>0</v>
      </c>
      <c r="AJ20" s="35">
        <f t="shared" si="4"/>
        <v>0</v>
      </c>
    </row>
    <row r="21" spans="1:36" x14ac:dyDescent="0.25">
      <c r="A21" s="32" t="str">
        <f>IF(Mitarbeitende!A21="","",Mitarbeitende!A21)</f>
        <v/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H21" s="34">
        <f t="shared" si="2"/>
        <v>0</v>
      </c>
      <c r="AI21" s="35">
        <f t="shared" si="3"/>
        <v>0</v>
      </c>
      <c r="AJ21" s="35">
        <f t="shared" si="4"/>
        <v>0</v>
      </c>
    </row>
    <row r="22" spans="1:36" x14ac:dyDescent="0.25">
      <c r="A22" s="32" t="str">
        <f>IF(Mitarbeitende!A22="","",Mitarbeitende!A22)</f>
        <v/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H22" s="34">
        <f t="shared" si="2"/>
        <v>0</v>
      </c>
      <c r="AI22" s="35">
        <f t="shared" si="3"/>
        <v>0</v>
      </c>
      <c r="AJ22" s="35">
        <f t="shared" si="4"/>
        <v>0</v>
      </c>
    </row>
    <row r="23" spans="1:36" x14ac:dyDescent="0.25">
      <c r="A23" s="32" t="str">
        <f>IF(Mitarbeitende!A23="","",Mitarbeitende!A23)</f>
        <v/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H23" s="34">
        <f t="shared" si="2"/>
        <v>0</v>
      </c>
      <c r="AI23" s="35">
        <f t="shared" si="3"/>
        <v>0</v>
      </c>
      <c r="AJ23" s="35">
        <f t="shared" si="4"/>
        <v>0</v>
      </c>
    </row>
    <row r="24" spans="1:36" x14ac:dyDescent="0.25">
      <c r="A24" s="32" t="str">
        <f>IF(Mitarbeitende!A24="","",Mitarbeitende!A24)</f>
        <v/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H24" s="34">
        <f t="shared" si="2"/>
        <v>0</v>
      </c>
      <c r="AI24" s="35">
        <f t="shared" si="3"/>
        <v>0</v>
      </c>
      <c r="AJ24" s="35">
        <f t="shared" si="4"/>
        <v>0</v>
      </c>
    </row>
    <row r="25" spans="1:36" x14ac:dyDescent="0.25">
      <c r="A25" s="32" t="str">
        <f>IF(Mitarbeitende!A25="","",Mitarbeitende!A25)</f>
        <v/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H25" s="34">
        <f t="shared" si="2"/>
        <v>0</v>
      </c>
      <c r="AI25" s="35">
        <f t="shared" si="3"/>
        <v>0</v>
      </c>
      <c r="AJ25" s="35">
        <f t="shared" si="4"/>
        <v>0</v>
      </c>
    </row>
    <row r="26" spans="1:36" x14ac:dyDescent="0.25">
      <c r="A26" s="32" t="str">
        <f>IF(Mitarbeitende!A26="","",Mitarbeitende!A26)</f>
        <v/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H26" s="34">
        <f t="shared" si="2"/>
        <v>0</v>
      </c>
      <c r="AI26" s="35">
        <f t="shared" si="3"/>
        <v>0</v>
      </c>
      <c r="AJ26" s="35">
        <f t="shared" si="4"/>
        <v>0</v>
      </c>
    </row>
    <row r="27" spans="1:36" x14ac:dyDescent="0.25">
      <c r="A27" s="32" t="str">
        <f>IF(Mitarbeitende!A27="","",Mitarbeitende!A27)</f>
        <v/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H27" s="34">
        <f t="shared" si="2"/>
        <v>0</v>
      </c>
      <c r="AI27" s="35">
        <f t="shared" si="3"/>
        <v>0</v>
      </c>
      <c r="AJ27" s="35">
        <f t="shared" si="4"/>
        <v>0</v>
      </c>
    </row>
    <row r="28" spans="1:36" x14ac:dyDescent="0.25">
      <c r="A28" s="32" t="str">
        <f>IF(Mitarbeitende!A28="","",Mitarbeitende!A28)</f>
        <v/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H28" s="34">
        <f t="shared" si="2"/>
        <v>0</v>
      </c>
      <c r="AI28" s="35">
        <f t="shared" si="3"/>
        <v>0</v>
      </c>
      <c r="AJ28" s="35">
        <f t="shared" si="4"/>
        <v>0</v>
      </c>
    </row>
    <row r="29" spans="1:36" x14ac:dyDescent="0.25">
      <c r="A29" s="32" t="str">
        <f>IF(Mitarbeitende!A29="","",Mitarbeitende!A29)</f>
        <v/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H29" s="34">
        <f t="shared" si="2"/>
        <v>0</v>
      </c>
      <c r="AI29" s="35">
        <f t="shared" si="3"/>
        <v>0</v>
      </c>
      <c r="AJ29" s="35">
        <f t="shared" si="4"/>
        <v>0</v>
      </c>
    </row>
    <row r="30" spans="1:36" x14ac:dyDescent="0.25">
      <c r="A30" s="32" t="str">
        <f>IF(Mitarbeitende!A30="","",Mitarbeitende!A30)</f>
        <v/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H30" s="34">
        <f t="shared" si="2"/>
        <v>0</v>
      </c>
      <c r="AI30" s="35">
        <f t="shared" si="3"/>
        <v>0</v>
      </c>
      <c r="AJ30" s="35">
        <f t="shared" si="4"/>
        <v>0</v>
      </c>
    </row>
    <row r="31" spans="1:36" x14ac:dyDescent="0.25">
      <c r="A31" s="32" t="str">
        <f>IF(Mitarbeitende!A31="","",Mitarbeitende!A31)</f>
        <v/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H31" s="34">
        <f t="shared" si="2"/>
        <v>0</v>
      </c>
      <c r="AI31" s="35">
        <f t="shared" si="3"/>
        <v>0</v>
      </c>
      <c r="AJ31" s="35">
        <f t="shared" si="4"/>
        <v>0</v>
      </c>
    </row>
    <row r="32" spans="1:36" x14ac:dyDescent="0.25">
      <c r="A32" s="32" t="str">
        <f>IF(Mitarbeitende!A32="","",Mitarbeitende!A32)</f>
        <v/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H32" s="34">
        <f t="shared" si="2"/>
        <v>0</v>
      </c>
      <c r="AI32" s="35">
        <f t="shared" si="3"/>
        <v>0</v>
      </c>
      <c r="AJ32" s="35">
        <f t="shared" si="4"/>
        <v>0</v>
      </c>
    </row>
    <row r="33" spans="1:36" x14ac:dyDescent="0.25">
      <c r="A33" s="32" t="str">
        <f>IF(Mitarbeitende!A33="","",Mitarbeitende!A33)</f>
        <v/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H33" s="34">
        <f t="shared" si="2"/>
        <v>0</v>
      </c>
      <c r="AI33" s="35">
        <f t="shared" si="3"/>
        <v>0</v>
      </c>
      <c r="AJ33" s="35">
        <f t="shared" si="4"/>
        <v>0</v>
      </c>
    </row>
    <row r="34" spans="1:36" x14ac:dyDescent="0.25">
      <c r="A34" s="32" t="str">
        <f>IF(Mitarbeitende!A34="","",Mitarbeitende!A34)</f>
        <v/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H34" s="34">
        <f t="shared" si="2"/>
        <v>0</v>
      </c>
      <c r="AI34" s="35">
        <f t="shared" si="3"/>
        <v>0</v>
      </c>
      <c r="AJ34" s="35">
        <f t="shared" si="4"/>
        <v>0</v>
      </c>
    </row>
    <row r="36" spans="1:36" x14ac:dyDescent="0.25">
      <c r="A36" s="17" t="str">
        <f>"Arbeitstage im Monat: "&amp;SUM(B2:AF2)</f>
        <v>Arbeitstage im Monat: 22</v>
      </c>
    </row>
    <row r="37" spans="1:36" x14ac:dyDescent="0.25">
      <c r="A37" s="17" t="s">
        <v>59</v>
      </c>
    </row>
  </sheetData>
  <conditionalFormatting sqref="B3:AF34">
    <cfRule type="expression" dxfId="63" priority="7">
      <formula>B$3=""</formula>
    </cfRule>
    <cfRule type="expression" dxfId="62" priority="8">
      <formula>AND(B$3&lt;&gt;"",COUNTIF(Feiertage_aktiv,B$3)&gt;0)</formula>
    </cfRule>
    <cfRule type="expression" dxfId="61" priority="9">
      <formula>AND(B$3&lt;&gt;"",WEEKDAY(B$3,2)&gt;5)</formula>
    </cfRule>
  </conditionalFormatting>
  <conditionalFormatting sqref="B5:AF34">
    <cfRule type="expression" dxfId="60" priority="1" stopIfTrue="1">
      <formula>UPPER(B5)="U"</formula>
    </cfRule>
    <cfRule type="expression" dxfId="59" priority="2" stopIfTrue="1">
      <formula>UPPER(B5)="H"</formula>
    </cfRule>
    <cfRule type="expression" dxfId="58" priority="3" stopIfTrue="1">
      <formula>UPPER(B5)="K"</formula>
    </cfRule>
    <cfRule type="expression" dxfId="57" priority="4" stopIfTrue="1">
      <formula>UPPER(B5)="S"</formula>
    </cfRule>
    <cfRule type="expression" dxfId="56" priority="5" stopIfTrue="1">
      <formula>UPPER(B5)="Z"</formula>
    </cfRule>
    <cfRule type="expression" dxfId="55" priority="6" stopIfTrue="1">
      <formula>UPPER(B5)="F"</formula>
    </cfRule>
  </conditionalFormatting>
  <dataValidations count="1">
    <dataValidation type="list" allowBlank="1" showErrorMessage="1" errorTitle="Kürzel" error="Bitte U, H, K, S, Z oder F eintragen." sqref="B5:AF34" xr:uid="{00000000-0002-0000-0700-000000000000}">
      <formula1>"U,H,K,S,Z,F"</formula1>
    </dataValidation>
  </dataValidations>
  <pageMargins left="0.75" right="0.75" top="1" bottom="1" header="0.5" footer="0.5"/>
  <pageSetup fitToHeight="0" orientation="landscape"/>
  <headerFooter>
    <oddFooter>&amp;C&amp;8 &amp;K686E70Vorlage von seminaron.de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J37"/>
  <sheetViews>
    <sheetView showGridLines="0" zoomScale="9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4" customWidth="1"/>
    <col min="2" max="32" width="4.140625" customWidth="1"/>
    <col min="33" max="33" width="1.42578125" customWidth="1"/>
    <col min="34" max="36" width="8.42578125" customWidth="1"/>
  </cols>
  <sheetData>
    <row r="1" spans="1:36" ht="23.25" x14ac:dyDescent="0.35">
      <c r="A1" s="18" t="str">
        <f>"Juli "&amp;Jahr&amp;IF(Firma="",""," · "&amp;Firma)</f>
        <v>Juli 2027</v>
      </c>
    </row>
    <row r="2" spans="1:36" hidden="1" x14ac:dyDescent="0.25">
      <c r="A2" s="26" t="s">
        <v>55</v>
      </c>
      <c r="B2" s="27">
        <f t="shared" ref="B2:AF2" si="0">IF(B3="",0,IF(WEEKDAY(B3,2)&gt;5,0,IF(COUNTIF(Feiertage_aktiv,B3)&gt;0,0,1)))</f>
        <v>1</v>
      </c>
      <c r="C2" s="27">
        <f t="shared" si="0"/>
        <v>1</v>
      </c>
      <c r="D2" s="27">
        <f t="shared" si="0"/>
        <v>0</v>
      </c>
      <c r="E2" s="27">
        <f t="shared" si="0"/>
        <v>0</v>
      </c>
      <c r="F2" s="27">
        <f t="shared" si="0"/>
        <v>1</v>
      </c>
      <c r="G2" s="27">
        <f t="shared" si="0"/>
        <v>1</v>
      </c>
      <c r="H2" s="27">
        <f t="shared" si="0"/>
        <v>1</v>
      </c>
      <c r="I2" s="27">
        <f t="shared" si="0"/>
        <v>1</v>
      </c>
      <c r="J2" s="27">
        <f t="shared" si="0"/>
        <v>1</v>
      </c>
      <c r="K2" s="27">
        <f t="shared" si="0"/>
        <v>0</v>
      </c>
      <c r="L2" s="27">
        <f t="shared" si="0"/>
        <v>0</v>
      </c>
      <c r="M2" s="27">
        <f t="shared" si="0"/>
        <v>1</v>
      </c>
      <c r="N2" s="27">
        <f t="shared" si="0"/>
        <v>1</v>
      </c>
      <c r="O2" s="27">
        <f t="shared" si="0"/>
        <v>1</v>
      </c>
      <c r="P2" s="27">
        <f t="shared" si="0"/>
        <v>1</v>
      </c>
      <c r="Q2" s="27">
        <f t="shared" si="0"/>
        <v>1</v>
      </c>
      <c r="R2" s="27">
        <f t="shared" si="0"/>
        <v>0</v>
      </c>
      <c r="S2" s="27">
        <f t="shared" si="0"/>
        <v>0</v>
      </c>
      <c r="T2" s="27">
        <f t="shared" si="0"/>
        <v>1</v>
      </c>
      <c r="U2" s="27">
        <f t="shared" si="0"/>
        <v>1</v>
      </c>
      <c r="V2" s="27">
        <f t="shared" si="0"/>
        <v>1</v>
      </c>
      <c r="W2" s="27">
        <f t="shared" si="0"/>
        <v>1</v>
      </c>
      <c r="X2" s="27">
        <f t="shared" si="0"/>
        <v>1</v>
      </c>
      <c r="Y2" s="27">
        <f t="shared" si="0"/>
        <v>0</v>
      </c>
      <c r="Z2" s="27">
        <f t="shared" si="0"/>
        <v>0</v>
      </c>
      <c r="AA2" s="27">
        <f t="shared" si="0"/>
        <v>1</v>
      </c>
      <c r="AB2" s="27">
        <f t="shared" si="0"/>
        <v>1</v>
      </c>
      <c r="AC2" s="27">
        <f t="shared" si="0"/>
        <v>1</v>
      </c>
      <c r="AD2" s="27">
        <f t="shared" si="0"/>
        <v>1</v>
      </c>
      <c r="AE2" s="27">
        <f t="shared" si="0"/>
        <v>1</v>
      </c>
      <c r="AF2" s="27">
        <f t="shared" si="0"/>
        <v>0</v>
      </c>
    </row>
    <row r="3" spans="1:36" x14ac:dyDescent="0.25">
      <c r="A3" s="17" t="str">
        <f>"Bundesland: "&amp;Bundesland</f>
        <v>Bundesland: Nordrhein-Westfalen</v>
      </c>
      <c r="B3" s="28">
        <f>IF(MONTH(DATE(Jahr,7,1))=7,DATE(Jahr,7,1),"")</f>
        <v>46569</v>
      </c>
      <c r="C3" s="28">
        <f>IF(MONTH(DATE(Jahr,7,2))=7,DATE(Jahr,7,2),"")</f>
        <v>46570</v>
      </c>
      <c r="D3" s="28">
        <f>IF(MONTH(DATE(Jahr,7,3))=7,DATE(Jahr,7,3),"")</f>
        <v>46571</v>
      </c>
      <c r="E3" s="28">
        <f>IF(MONTH(DATE(Jahr,7,4))=7,DATE(Jahr,7,4),"")</f>
        <v>46572</v>
      </c>
      <c r="F3" s="28">
        <f>IF(MONTH(DATE(Jahr,7,5))=7,DATE(Jahr,7,5),"")</f>
        <v>46573</v>
      </c>
      <c r="G3" s="28">
        <f>IF(MONTH(DATE(Jahr,7,6))=7,DATE(Jahr,7,6),"")</f>
        <v>46574</v>
      </c>
      <c r="H3" s="28">
        <f>IF(MONTH(DATE(Jahr,7,7))=7,DATE(Jahr,7,7),"")</f>
        <v>46575</v>
      </c>
      <c r="I3" s="28">
        <f>IF(MONTH(DATE(Jahr,7,8))=7,DATE(Jahr,7,8),"")</f>
        <v>46576</v>
      </c>
      <c r="J3" s="28">
        <f>IF(MONTH(DATE(Jahr,7,9))=7,DATE(Jahr,7,9),"")</f>
        <v>46577</v>
      </c>
      <c r="K3" s="28">
        <f>IF(MONTH(DATE(Jahr,7,10))=7,DATE(Jahr,7,10),"")</f>
        <v>46578</v>
      </c>
      <c r="L3" s="28">
        <f>IF(MONTH(DATE(Jahr,7,11))=7,DATE(Jahr,7,11),"")</f>
        <v>46579</v>
      </c>
      <c r="M3" s="28">
        <f>IF(MONTH(DATE(Jahr,7,12))=7,DATE(Jahr,7,12),"")</f>
        <v>46580</v>
      </c>
      <c r="N3" s="28">
        <f>IF(MONTH(DATE(Jahr,7,13))=7,DATE(Jahr,7,13),"")</f>
        <v>46581</v>
      </c>
      <c r="O3" s="28">
        <f>IF(MONTH(DATE(Jahr,7,14))=7,DATE(Jahr,7,14),"")</f>
        <v>46582</v>
      </c>
      <c r="P3" s="28">
        <f>IF(MONTH(DATE(Jahr,7,15))=7,DATE(Jahr,7,15),"")</f>
        <v>46583</v>
      </c>
      <c r="Q3" s="28">
        <f>IF(MONTH(DATE(Jahr,7,16))=7,DATE(Jahr,7,16),"")</f>
        <v>46584</v>
      </c>
      <c r="R3" s="28">
        <f>IF(MONTH(DATE(Jahr,7,17))=7,DATE(Jahr,7,17),"")</f>
        <v>46585</v>
      </c>
      <c r="S3" s="28">
        <f>IF(MONTH(DATE(Jahr,7,18))=7,DATE(Jahr,7,18),"")</f>
        <v>46586</v>
      </c>
      <c r="T3" s="28">
        <f>IF(MONTH(DATE(Jahr,7,19))=7,DATE(Jahr,7,19),"")</f>
        <v>46587</v>
      </c>
      <c r="U3" s="28">
        <f>IF(MONTH(DATE(Jahr,7,20))=7,DATE(Jahr,7,20),"")</f>
        <v>46588</v>
      </c>
      <c r="V3" s="28">
        <f>IF(MONTH(DATE(Jahr,7,21))=7,DATE(Jahr,7,21),"")</f>
        <v>46589</v>
      </c>
      <c r="W3" s="28">
        <f>IF(MONTH(DATE(Jahr,7,22))=7,DATE(Jahr,7,22),"")</f>
        <v>46590</v>
      </c>
      <c r="X3" s="28">
        <f>IF(MONTH(DATE(Jahr,7,23))=7,DATE(Jahr,7,23),"")</f>
        <v>46591</v>
      </c>
      <c r="Y3" s="28">
        <f>IF(MONTH(DATE(Jahr,7,24))=7,DATE(Jahr,7,24),"")</f>
        <v>46592</v>
      </c>
      <c r="Z3" s="28">
        <f>IF(MONTH(DATE(Jahr,7,25))=7,DATE(Jahr,7,25),"")</f>
        <v>46593</v>
      </c>
      <c r="AA3" s="28">
        <f>IF(MONTH(DATE(Jahr,7,26))=7,DATE(Jahr,7,26),"")</f>
        <v>46594</v>
      </c>
      <c r="AB3" s="28">
        <f>IF(MONTH(DATE(Jahr,7,27))=7,DATE(Jahr,7,27),"")</f>
        <v>46595</v>
      </c>
      <c r="AC3" s="28">
        <f>IF(MONTH(DATE(Jahr,7,28))=7,DATE(Jahr,7,28),"")</f>
        <v>46596</v>
      </c>
      <c r="AD3" s="28">
        <f>IF(MONTH(DATE(Jahr,7,29))=7,DATE(Jahr,7,29),"")</f>
        <v>46597</v>
      </c>
      <c r="AE3" s="28">
        <f>IF(MONTH(DATE(Jahr,7,30))=7,DATE(Jahr,7,30),"")</f>
        <v>46598</v>
      </c>
      <c r="AF3" s="28">
        <f>IF(MONTH(DATE(Jahr,7,31))=7,DATE(Jahr,7,31),"")</f>
        <v>46599</v>
      </c>
    </row>
    <row r="4" spans="1:36" x14ac:dyDescent="0.25">
      <c r="A4" s="29" t="s">
        <v>38</v>
      </c>
      <c r="B4" s="30">
        <f t="shared" ref="B4:AF4" si="1">B3</f>
        <v>46569</v>
      </c>
      <c r="C4" s="30">
        <f t="shared" si="1"/>
        <v>46570</v>
      </c>
      <c r="D4" s="30">
        <f t="shared" si="1"/>
        <v>46571</v>
      </c>
      <c r="E4" s="30">
        <f t="shared" si="1"/>
        <v>46572</v>
      </c>
      <c r="F4" s="30">
        <f t="shared" si="1"/>
        <v>46573</v>
      </c>
      <c r="G4" s="30">
        <f t="shared" si="1"/>
        <v>46574</v>
      </c>
      <c r="H4" s="30">
        <f t="shared" si="1"/>
        <v>46575</v>
      </c>
      <c r="I4" s="30">
        <f t="shared" si="1"/>
        <v>46576</v>
      </c>
      <c r="J4" s="30">
        <f t="shared" si="1"/>
        <v>46577</v>
      </c>
      <c r="K4" s="30">
        <f t="shared" si="1"/>
        <v>46578</v>
      </c>
      <c r="L4" s="30">
        <f t="shared" si="1"/>
        <v>46579</v>
      </c>
      <c r="M4" s="30">
        <f t="shared" si="1"/>
        <v>46580</v>
      </c>
      <c r="N4" s="30">
        <f t="shared" si="1"/>
        <v>46581</v>
      </c>
      <c r="O4" s="30">
        <f t="shared" si="1"/>
        <v>46582</v>
      </c>
      <c r="P4" s="30">
        <f t="shared" si="1"/>
        <v>46583</v>
      </c>
      <c r="Q4" s="30">
        <f t="shared" si="1"/>
        <v>46584</v>
      </c>
      <c r="R4" s="30">
        <f t="shared" si="1"/>
        <v>46585</v>
      </c>
      <c r="S4" s="30">
        <f t="shared" si="1"/>
        <v>46586</v>
      </c>
      <c r="T4" s="30">
        <f t="shared" si="1"/>
        <v>46587</v>
      </c>
      <c r="U4" s="30">
        <f t="shared" si="1"/>
        <v>46588</v>
      </c>
      <c r="V4" s="30">
        <f t="shared" si="1"/>
        <v>46589</v>
      </c>
      <c r="W4" s="30">
        <f t="shared" si="1"/>
        <v>46590</v>
      </c>
      <c r="X4" s="30">
        <f t="shared" si="1"/>
        <v>46591</v>
      </c>
      <c r="Y4" s="30">
        <f t="shared" si="1"/>
        <v>46592</v>
      </c>
      <c r="Z4" s="30">
        <f t="shared" si="1"/>
        <v>46593</v>
      </c>
      <c r="AA4" s="30">
        <f t="shared" si="1"/>
        <v>46594</v>
      </c>
      <c r="AB4" s="30">
        <f t="shared" si="1"/>
        <v>46595</v>
      </c>
      <c r="AC4" s="30">
        <f t="shared" si="1"/>
        <v>46596</v>
      </c>
      <c r="AD4" s="30">
        <f t="shared" si="1"/>
        <v>46597</v>
      </c>
      <c r="AE4" s="30">
        <f t="shared" si="1"/>
        <v>46598</v>
      </c>
      <c r="AF4" s="30">
        <f t="shared" si="1"/>
        <v>46599</v>
      </c>
      <c r="AH4" s="31" t="s">
        <v>56</v>
      </c>
      <c r="AI4" s="31" t="s">
        <v>57</v>
      </c>
      <c r="AJ4" s="31" t="s">
        <v>58</v>
      </c>
    </row>
    <row r="5" spans="1:36" x14ac:dyDescent="0.25">
      <c r="A5" s="32" t="str">
        <f>IF(Mitarbeitende!A5="","",Mitarbeitende!A5)</f>
        <v>Beispiel: Anna Muster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H5" s="34">
        <f t="shared" ref="AH5:AH34" si="2">SUMPRODUCT((B5:AF5="U")*$B$2:$AF$2)+0.5*SUMPRODUCT((B5:AF5="H")*$B$2:$AF$2)</f>
        <v>0</v>
      </c>
      <c r="AI5" s="35">
        <f t="shared" ref="AI5:AI34" si="3">SUMPRODUCT((B5:AF5="K")*$B$2:$AF$2)</f>
        <v>0</v>
      </c>
      <c r="AJ5" s="35">
        <f t="shared" ref="AJ5:AJ34" si="4">SUMPRODUCT((B5:AF5="S")*$B$2:$AF$2)</f>
        <v>0</v>
      </c>
    </row>
    <row r="6" spans="1:36" x14ac:dyDescent="0.25">
      <c r="A6" s="32" t="str">
        <f>IF(Mitarbeitende!A6="","",Mitarbeitende!A6)</f>
        <v>Beispiel: Ben Beispiel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H6" s="34">
        <f t="shared" si="2"/>
        <v>0</v>
      </c>
      <c r="AI6" s="35">
        <f t="shared" si="3"/>
        <v>0</v>
      </c>
      <c r="AJ6" s="35">
        <f t="shared" si="4"/>
        <v>0</v>
      </c>
    </row>
    <row r="7" spans="1:36" x14ac:dyDescent="0.25">
      <c r="A7" s="32" t="str">
        <f>IF(Mitarbeitende!A7="","",Mitarbeitende!A7)</f>
        <v/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H7" s="34">
        <f t="shared" si="2"/>
        <v>0</v>
      </c>
      <c r="AI7" s="35">
        <f t="shared" si="3"/>
        <v>0</v>
      </c>
      <c r="AJ7" s="35">
        <f t="shared" si="4"/>
        <v>0</v>
      </c>
    </row>
    <row r="8" spans="1:36" x14ac:dyDescent="0.25">
      <c r="A8" s="32" t="str">
        <f>IF(Mitarbeitende!A8="","",Mitarbeitende!A8)</f>
        <v/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H8" s="34">
        <f t="shared" si="2"/>
        <v>0</v>
      </c>
      <c r="AI8" s="35">
        <f t="shared" si="3"/>
        <v>0</v>
      </c>
      <c r="AJ8" s="35">
        <f t="shared" si="4"/>
        <v>0</v>
      </c>
    </row>
    <row r="9" spans="1:36" x14ac:dyDescent="0.25">
      <c r="A9" s="32" t="str">
        <f>IF(Mitarbeitende!A9="","",Mitarbeitende!A9)</f>
        <v/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H9" s="34">
        <f t="shared" si="2"/>
        <v>0</v>
      </c>
      <c r="AI9" s="35">
        <f t="shared" si="3"/>
        <v>0</v>
      </c>
      <c r="AJ9" s="35">
        <f t="shared" si="4"/>
        <v>0</v>
      </c>
    </row>
    <row r="10" spans="1:36" x14ac:dyDescent="0.25">
      <c r="A10" s="32" t="str">
        <f>IF(Mitarbeitende!A10="","",Mitarbeitende!A10)</f>
        <v/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H10" s="34">
        <f t="shared" si="2"/>
        <v>0</v>
      </c>
      <c r="AI10" s="35">
        <f t="shared" si="3"/>
        <v>0</v>
      </c>
      <c r="AJ10" s="35">
        <f t="shared" si="4"/>
        <v>0</v>
      </c>
    </row>
    <row r="11" spans="1:36" x14ac:dyDescent="0.25">
      <c r="A11" s="32" t="str">
        <f>IF(Mitarbeitende!A11="","",Mitarbeitende!A11)</f>
        <v/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H11" s="34">
        <f t="shared" si="2"/>
        <v>0</v>
      </c>
      <c r="AI11" s="35">
        <f t="shared" si="3"/>
        <v>0</v>
      </c>
      <c r="AJ11" s="35">
        <f t="shared" si="4"/>
        <v>0</v>
      </c>
    </row>
    <row r="12" spans="1:36" x14ac:dyDescent="0.25">
      <c r="A12" s="32" t="str">
        <f>IF(Mitarbeitende!A12="","",Mitarbeitende!A12)</f>
        <v/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H12" s="34">
        <f t="shared" si="2"/>
        <v>0</v>
      </c>
      <c r="AI12" s="35">
        <f t="shared" si="3"/>
        <v>0</v>
      </c>
      <c r="AJ12" s="35">
        <f t="shared" si="4"/>
        <v>0</v>
      </c>
    </row>
    <row r="13" spans="1:36" x14ac:dyDescent="0.25">
      <c r="A13" s="32" t="str">
        <f>IF(Mitarbeitende!A13="","",Mitarbeitende!A13)</f>
        <v/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H13" s="34">
        <f t="shared" si="2"/>
        <v>0</v>
      </c>
      <c r="AI13" s="35">
        <f t="shared" si="3"/>
        <v>0</v>
      </c>
      <c r="AJ13" s="35">
        <f t="shared" si="4"/>
        <v>0</v>
      </c>
    </row>
    <row r="14" spans="1:36" x14ac:dyDescent="0.25">
      <c r="A14" s="32" t="str">
        <f>IF(Mitarbeitende!A14="","",Mitarbeitende!A14)</f>
        <v/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H14" s="34">
        <f t="shared" si="2"/>
        <v>0</v>
      </c>
      <c r="AI14" s="35">
        <f t="shared" si="3"/>
        <v>0</v>
      </c>
      <c r="AJ14" s="35">
        <f t="shared" si="4"/>
        <v>0</v>
      </c>
    </row>
    <row r="15" spans="1:36" x14ac:dyDescent="0.25">
      <c r="A15" s="32" t="str">
        <f>IF(Mitarbeitende!A15="","",Mitarbeitende!A15)</f>
        <v/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H15" s="34">
        <f t="shared" si="2"/>
        <v>0</v>
      </c>
      <c r="AI15" s="35">
        <f t="shared" si="3"/>
        <v>0</v>
      </c>
      <c r="AJ15" s="35">
        <f t="shared" si="4"/>
        <v>0</v>
      </c>
    </row>
    <row r="16" spans="1:36" x14ac:dyDescent="0.25">
      <c r="A16" s="32" t="str">
        <f>IF(Mitarbeitende!A16="","",Mitarbeitende!A16)</f>
        <v/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H16" s="34">
        <f t="shared" si="2"/>
        <v>0</v>
      </c>
      <c r="AI16" s="35">
        <f t="shared" si="3"/>
        <v>0</v>
      </c>
      <c r="AJ16" s="35">
        <f t="shared" si="4"/>
        <v>0</v>
      </c>
    </row>
    <row r="17" spans="1:36" x14ac:dyDescent="0.25">
      <c r="A17" s="32" t="str">
        <f>IF(Mitarbeitende!A17="","",Mitarbeitende!A17)</f>
        <v/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H17" s="34">
        <f t="shared" si="2"/>
        <v>0</v>
      </c>
      <c r="AI17" s="35">
        <f t="shared" si="3"/>
        <v>0</v>
      </c>
      <c r="AJ17" s="35">
        <f t="shared" si="4"/>
        <v>0</v>
      </c>
    </row>
    <row r="18" spans="1:36" x14ac:dyDescent="0.25">
      <c r="A18" s="32" t="str">
        <f>IF(Mitarbeitende!A18="","",Mitarbeitende!A18)</f>
        <v/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H18" s="34">
        <f t="shared" si="2"/>
        <v>0</v>
      </c>
      <c r="AI18" s="35">
        <f t="shared" si="3"/>
        <v>0</v>
      </c>
      <c r="AJ18" s="35">
        <f t="shared" si="4"/>
        <v>0</v>
      </c>
    </row>
    <row r="19" spans="1:36" x14ac:dyDescent="0.25">
      <c r="A19" s="32" t="str">
        <f>IF(Mitarbeitende!A19="","",Mitarbeitende!A19)</f>
        <v/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H19" s="34">
        <f t="shared" si="2"/>
        <v>0</v>
      </c>
      <c r="AI19" s="35">
        <f t="shared" si="3"/>
        <v>0</v>
      </c>
      <c r="AJ19" s="35">
        <f t="shared" si="4"/>
        <v>0</v>
      </c>
    </row>
    <row r="20" spans="1:36" x14ac:dyDescent="0.25">
      <c r="A20" s="32" t="str">
        <f>IF(Mitarbeitende!A20="","",Mitarbeitende!A20)</f>
        <v/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H20" s="34">
        <f t="shared" si="2"/>
        <v>0</v>
      </c>
      <c r="AI20" s="35">
        <f t="shared" si="3"/>
        <v>0</v>
      </c>
      <c r="AJ20" s="35">
        <f t="shared" si="4"/>
        <v>0</v>
      </c>
    </row>
    <row r="21" spans="1:36" x14ac:dyDescent="0.25">
      <c r="A21" s="32" t="str">
        <f>IF(Mitarbeitende!A21="","",Mitarbeitende!A21)</f>
        <v/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H21" s="34">
        <f t="shared" si="2"/>
        <v>0</v>
      </c>
      <c r="AI21" s="35">
        <f t="shared" si="3"/>
        <v>0</v>
      </c>
      <c r="AJ21" s="35">
        <f t="shared" si="4"/>
        <v>0</v>
      </c>
    </row>
    <row r="22" spans="1:36" x14ac:dyDescent="0.25">
      <c r="A22" s="32" t="str">
        <f>IF(Mitarbeitende!A22="","",Mitarbeitende!A22)</f>
        <v/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H22" s="34">
        <f t="shared" si="2"/>
        <v>0</v>
      </c>
      <c r="AI22" s="35">
        <f t="shared" si="3"/>
        <v>0</v>
      </c>
      <c r="AJ22" s="35">
        <f t="shared" si="4"/>
        <v>0</v>
      </c>
    </row>
    <row r="23" spans="1:36" x14ac:dyDescent="0.25">
      <c r="A23" s="32" t="str">
        <f>IF(Mitarbeitende!A23="","",Mitarbeitende!A23)</f>
        <v/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H23" s="34">
        <f t="shared" si="2"/>
        <v>0</v>
      </c>
      <c r="AI23" s="35">
        <f t="shared" si="3"/>
        <v>0</v>
      </c>
      <c r="AJ23" s="35">
        <f t="shared" si="4"/>
        <v>0</v>
      </c>
    </row>
    <row r="24" spans="1:36" x14ac:dyDescent="0.25">
      <c r="A24" s="32" t="str">
        <f>IF(Mitarbeitende!A24="","",Mitarbeitende!A24)</f>
        <v/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H24" s="34">
        <f t="shared" si="2"/>
        <v>0</v>
      </c>
      <c r="AI24" s="35">
        <f t="shared" si="3"/>
        <v>0</v>
      </c>
      <c r="AJ24" s="35">
        <f t="shared" si="4"/>
        <v>0</v>
      </c>
    </row>
    <row r="25" spans="1:36" x14ac:dyDescent="0.25">
      <c r="A25" s="32" t="str">
        <f>IF(Mitarbeitende!A25="","",Mitarbeitende!A25)</f>
        <v/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H25" s="34">
        <f t="shared" si="2"/>
        <v>0</v>
      </c>
      <c r="AI25" s="35">
        <f t="shared" si="3"/>
        <v>0</v>
      </c>
      <c r="AJ25" s="35">
        <f t="shared" si="4"/>
        <v>0</v>
      </c>
    </row>
    <row r="26" spans="1:36" x14ac:dyDescent="0.25">
      <c r="A26" s="32" t="str">
        <f>IF(Mitarbeitende!A26="","",Mitarbeitende!A26)</f>
        <v/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H26" s="34">
        <f t="shared" si="2"/>
        <v>0</v>
      </c>
      <c r="AI26" s="35">
        <f t="shared" si="3"/>
        <v>0</v>
      </c>
      <c r="AJ26" s="35">
        <f t="shared" si="4"/>
        <v>0</v>
      </c>
    </row>
    <row r="27" spans="1:36" x14ac:dyDescent="0.25">
      <c r="A27" s="32" t="str">
        <f>IF(Mitarbeitende!A27="","",Mitarbeitende!A27)</f>
        <v/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H27" s="34">
        <f t="shared" si="2"/>
        <v>0</v>
      </c>
      <c r="AI27" s="35">
        <f t="shared" si="3"/>
        <v>0</v>
      </c>
      <c r="AJ27" s="35">
        <f t="shared" si="4"/>
        <v>0</v>
      </c>
    </row>
    <row r="28" spans="1:36" x14ac:dyDescent="0.25">
      <c r="A28" s="32" t="str">
        <f>IF(Mitarbeitende!A28="","",Mitarbeitende!A28)</f>
        <v/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H28" s="34">
        <f t="shared" si="2"/>
        <v>0</v>
      </c>
      <c r="AI28" s="35">
        <f t="shared" si="3"/>
        <v>0</v>
      </c>
      <c r="AJ28" s="35">
        <f t="shared" si="4"/>
        <v>0</v>
      </c>
    </row>
    <row r="29" spans="1:36" x14ac:dyDescent="0.25">
      <c r="A29" s="32" t="str">
        <f>IF(Mitarbeitende!A29="","",Mitarbeitende!A29)</f>
        <v/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H29" s="34">
        <f t="shared" si="2"/>
        <v>0</v>
      </c>
      <c r="AI29" s="35">
        <f t="shared" si="3"/>
        <v>0</v>
      </c>
      <c r="AJ29" s="35">
        <f t="shared" si="4"/>
        <v>0</v>
      </c>
    </row>
    <row r="30" spans="1:36" x14ac:dyDescent="0.25">
      <c r="A30" s="32" t="str">
        <f>IF(Mitarbeitende!A30="","",Mitarbeitende!A30)</f>
        <v/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H30" s="34">
        <f t="shared" si="2"/>
        <v>0</v>
      </c>
      <c r="AI30" s="35">
        <f t="shared" si="3"/>
        <v>0</v>
      </c>
      <c r="AJ30" s="35">
        <f t="shared" si="4"/>
        <v>0</v>
      </c>
    </row>
    <row r="31" spans="1:36" x14ac:dyDescent="0.25">
      <c r="A31" s="32" t="str">
        <f>IF(Mitarbeitende!A31="","",Mitarbeitende!A31)</f>
        <v/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H31" s="34">
        <f t="shared" si="2"/>
        <v>0</v>
      </c>
      <c r="AI31" s="35">
        <f t="shared" si="3"/>
        <v>0</v>
      </c>
      <c r="AJ31" s="35">
        <f t="shared" si="4"/>
        <v>0</v>
      </c>
    </row>
    <row r="32" spans="1:36" x14ac:dyDescent="0.25">
      <c r="A32" s="32" t="str">
        <f>IF(Mitarbeitende!A32="","",Mitarbeitende!A32)</f>
        <v/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H32" s="34">
        <f t="shared" si="2"/>
        <v>0</v>
      </c>
      <c r="AI32" s="35">
        <f t="shared" si="3"/>
        <v>0</v>
      </c>
      <c r="AJ32" s="35">
        <f t="shared" si="4"/>
        <v>0</v>
      </c>
    </row>
    <row r="33" spans="1:36" x14ac:dyDescent="0.25">
      <c r="A33" s="32" t="str">
        <f>IF(Mitarbeitende!A33="","",Mitarbeitende!A33)</f>
        <v/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H33" s="34">
        <f t="shared" si="2"/>
        <v>0</v>
      </c>
      <c r="AI33" s="35">
        <f t="shared" si="3"/>
        <v>0</v>
      </c>
      <c r="AJ33" s="35">
        <f t="shared" si="4"/>
        <v>0</v>
      </c>
    </row>
    <row r="34" spans="1:36" x14ac:dyDescent="0.25">
      <c r="A34" s="32" t="str">
        <f>IF(Mitarbeitende!A34="","",Mitarbeitende!A34)</f>
        <v/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H34" s="34">
        <f t="shared" si="2"/>
        <v>0</v>
      </c>
      <c r="AI34" s="35">
        <f t="shared" si="3"/>
        <v>0</v>
      </c>
      <c r="AJ34" s="35">
        <f t="shared" si="4"/>
        <v>0</v>
      </c>
    </row>
    <row r="36" spans="1:36" x14ac:dyDescent="0.25">
      <c r="A36" s="17" t="str">
        <f>"Arbeitstage im Monat: "&amp;SUM(B2:AF2)</f>
        <v>Arbeitstage im Monat: 22</v>
      </c>
    </row>
    <row r="37" spans="1:36" x14ac:dyDescent="0.25">
      <c r="A37" s="17" t="s">
        <v>59</v>
      </c>
    </row>
  </sheetData>
  <conditionalFormatting sqref="B3:AF34">
    <cfRule type="expression" dxfId="54" priority="7">
      <formula>B$3=""</formula>
    </cfRule>
    <cfRule type="expression" dxfId="53" priority="8">
      <formula>AND(B$3&lt;&gt;"",COUNTIF(Feiertage_aktiv,B$3)&gt;0)</formula>
    </cfRule>
    <cfRule type="expression" dxfId="52" priority="9">
      <formula>AND(B$3&lt;&gt;"",WEEKDAY(B$3,2)&gt;5)</formula>
    </cfRule>
  </conditionalFormatting>
  <conditionalFormatting sqref="B5:AF34">
    <cfRule type="expression" dxfId="51" priority="1" stopIfTrue="1">
      <formula>UPPER(B5)="U"</formula>
    </cfRule>
    <cfRule type="expression" dxfId="50" priority="2" stopIfTrue="1">
      <formula>UPPER(B5)="H"</formula>
    </cfRule>
    <cfRule type="expression" dxfId="49" priority="3" stopIfTrue="1">
      <formula>UPPER(B5)="K"</formula>
    </cfRule>
    <cfRule type="expression" dxfId="48" priority="4" stopIfTrue="1">
      <formula>UPPER(B5)="S"</formula>
    </cfRule>
    <cfRule type="expression" dxfId="47" priority="5" stopIfTrue="1">
      <formula>UPPER(B5)="Z"</formula>
    </cfRule>
    <cfRule type="expression" dxfId="46" priority="6" stopIfTrue="1">
      <formula>UPPER(B5)="F"</formula>
    </cfRule>
  </conditionalFormatting>
  <dataValidations count="1">
    <dataValidation type="list" allowBlank="1" showErrorMessage="1" errorTitle="Kürzel" error="Bitte U, H, K, S, Z oder F eintragen." sqref="B5:AF34" xr:uid="{00000000-0002-0000-0800-000000000000}">
      <formula1>"U,H,K,S,Z,F"</formula1>
    </dataValidation>
  </dataValidations>
  <pageMargins left="0.75" right="0.75" top="1" bottom="1" header="0.5" footer="0.5"/>
  <pageSetup fitToHeight="0" orientation="landscape"/>
  <headerFooter>
    <oddFooter>&amp;C&amp;8 &amp;K686E70Vorlage von seminaron.de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J37"/>
  <sheetViews>
    <sheetView showGridLines="0" zoomScale="9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4" customWidth="1"/>
    <col min="2" max="32" width="4.140625" customWidth="1"/>
    <col min="33" max="33" width="1.42578125" customWidth="1"/>
    <col min="34" max="36" width="8.42578125" customWidth="1"/>
  </cols>
  <sheetData>
    <row r="1" spans="1:36" ht="23.25" x14ac:dyDescent="0.35">
      <c r="A1" s="18" t="str">
        <f>"August "&amp;Jahr&amp;IF(Firma="",""," · "&amp;Firma)</f>
        <v>August 2027</v>
      </c>
    </row>
    <row r="2" spans="1:36" hidden="1" x14ac:dyDescent="0.25">
      <c r="A2" s="26" t="s">
        <v>55</v>
      </c>
      <c r="B2" s="27">
        <f t="shared" ref="B2:AF2" si="0">IF(B3="",0,IF(WEEKDAY(B3,2)&gt;5,0,IF(COUNTIF(Feiertage_aktiv,B3)&gt;0,0,1)))</f>
        <v>0</v>
      </c>
      <c r="C2" s="27">
        <f t="shared" si="0"/>
        <v>1</v>
      </c>
      <c r="D2" s="27">
        <f t="shared" si="0"/>
        <v>1</v>
      </c>
      <c r="E2" s="27">
        <f t="shared" si="0"/>
        <v>1</v>
      </c>
      <c r="F2" s="27">
        <f t="shared" si="0"/>
        <v>1</v>
      </c>
      <c r="G2" s="27">
        <f t="shared" si="0"/>
        <v>1</v>
      </c>
      <c r="H2" s="27">
        <f t="shared" si="0"/>
        <v>0</v>
      </c>
      <c r="I2" s="27">
        <f t="shared" si="0"/>
        <v>0</v>
      </c>
      <c r="J2" s="27">
        <f t="shared" si="0"/>
        <v>1</v>
      </c>
      <c r="K2" s="27">
        <f t="shared" si="0"/>
        <v>1</v>
      </c>
      <c r="L2" s="27">
        <f t="shared" si="0"/>
        <v>1</v>
      </c>
      <c r="M2" s="27">
        <f t="shared" si="0"/>
        <v>1</v>
      </c>
      <c r="N2" s="27">
        <f t="shared" si="0"/>
        <v>1</v>
      </c>
      <c r="O2" s="27">
        <f t="shared" si="0"/>
        <v>0</v>
      </c>
      <c r="P2" s="27">
        <f t="shared" si="0"/>
        <v>0</v>
      </c>
      <c r="Q2" s="27">
        <f t="shared" si="0"/>
        <v>1</v>
      </c>
      <c r="R2" s="27">
        <f t="shared" si="0"/>
        <v>1</v>
      </c>
      <c r="S2" s="27">
        <f t="shared" si="0"/>
        <v>1</v>
      </c>
      <c r="T2" s="27">
        <f t="shared" si="0"/>
        <v>1</v>
      </c>
      <c r="U2" s="27">
        <f t="shared" si="0"/>
        <v>1</v>
      </c>
      <c r="V2" s="27">
        <f t="shared" si="0"/>
        <v>0</v>
      </c>
      <c r="W2" s="27">
        <f t="shared" si="0"/>
        <v>0</v>
      </c>
      <c r="X2" s="27">
        <f t="shared" si="0"/>
        <v>1</v>
      </c>
      <c r="Y2" s="27">
        <f t="shared" si="0"/>
        <v>1</v>
      </c>
      <c r="Z2" s="27">
        <f t="shared" si="0"/>
        <v>1</v>
      </c>
      <c r="AA2" s="27">
        <f t="shared" si="0"/>
        <v>1</v>
      </c>
      <c r="AB2" s="27">
        <f t="shared" si="0"/>
        <v>1</v>
      </c>
      <c r="AC2" s="27">
        <f t="shared" si="0"/>
        <v>0</v>
      </c>
      <c r="AD2" s="27">
        <f t="shared" si="0"/>
        <v>0</v>
      </c>
      <c r="AE2" s="27">
        <f t="shared" si="0"/>
        <v>1</v>
      </c>
      <c r="AF2" s="27">
        <f t="shared" si="0"/>
        <v>1</v>
      </c>
    </row>
    <row r="3" spans="1:36" x14ac:dyDescent="0.25">
      <c r="A3" s="17" t="str">
        <f>"Bundesland: "&amp;Bundesland</f>
        <v>Bundesland: Nordrhein-Westfalen</v>
      </c>
      <c r="B3" s="28">
        <f>IF(MONTH(DATE(Jahr,8,1))=8,DATE(Jahr,8,1),"")</f>
        <v>46600</v>
      </c>
      <c r="C3" s="28">
        <f>IF(MONTH(DATE(Jahr,8,2))=8,DATE(Jahr,8,2),"")</f>
        <v>46601</v>
      </c>
      <c r="D3" s="28">
        <f>IF(MONTH(DATE(Jahr,8,3))=8,DATE(Jahr,8,3),"")</f>
        <v>46602</v>
      </c>
      <c r="E3" s="28">
        <f>IF(MONTH(DATE(Jahr,8,4))=8,DATE(Jahr,8,4),"")</f>
        <v>46603</v>
      </c>
      <c r="F3" s="28">
        <f>IF(MONTH(DATE(Jahr,8,5))=8,DATE(Jahr,8,5),"")</f>
        <v>46604</v>
      </c>
      <c r="G3" s="28">
        <f>IF(MONTH(DATE(Jahr,8,6))=8,DATE(Jahr,8,6),"")</f>
        <v>46605</v>
      </c>
      <c r="H3" s="28">
        <f>IF(MONTH(DATE(Jahr,8,7))=8,DATE(Jahr,8,7),"")</f>
        <v>46606</v>
      </c>
      <c r="I3" s="28">
        <f>IF(MONTH(DATE(Jahr,8,8))=8,DATE(Jahr,8,8),"")</f>
        <v>46607</v>
      </c>
      <c r="J3" s="28">
        <f>IF(MONTH(DATE(Jahr,8,9))=8,DATE(Jahr,8,9),"")</f>
        <v>46608</v>
      </c>
      <c r="K3" s="28">
        <f>IF(MONTH(DATE(Jahr,8,10))=8,DATE(Jahr,8,10),"")</f>
        <v>46609</v>
      </c>
      <c r="L3" s="28">
        <f>IF(MONTH(DATE(Jahr,8,11))=8,DATE(Jahr,8,11),"")</f>
        <v>46610</v>
      </c>
      <c r="M3" s="28">
        <f>IF(MONTH(DATE(Jahr,8,12))=8,DATE(Jahr,8,12),"")</f>
        <v>46611</v>
      </c>
      <c r="N3" s="28">
        <f>IF(MONTH(DATE(Jahr,8,13))=8,DATE(Jahr,8,13),"")</f>
        <v>46612</v>
      </c>
      <c r="O3" s="28">
        <f>IF(MONTH(DATE(Jahr,8,14))=8,DATE(Jahr,8,14),"")</f>
        <v>46613</v>
      </c>
      <c r="P3" s="28">
        <f>IF(MONTH(DATE(Jahr,8,15))=8,DATE(Jahr,8,15),"")</f>
        <v>46614</v>
      </c>
      <c r="Q3" s="28">
        <f>IF(MONTH(DATE(Jahr,8,16))=8,DATE(Jahr,8,16),"")</f>
        <v>46615</v>
      </c>
      <c r="R3" s="28">
        <f>IF(MONTH(DATE(Jahr,8,17))=8,DATE(Jahr,8,17),"")</f>
        <v>46616</v>
      </c>
      <c r="S3" s="28">
        <f>IF(MONTH(DATE(Jahr,8,18))=8,DATE(Jahr,8,18),"")</f>
        <v>46617</v>
      </c>
      <c r="T3" s="28">
        <f>IF(MONTH(DATE(Jahr,8,19))=8,DATE(Jahr,8,19),"")</f>
        <v>46618</v>
      </c>
      <c r="U3" s="28">
        <f>IF(MONTH(DATE(Jahr,8,20))=8,DATE(Jahr,8,20),"")</f>
        <v>46619</v>
      </c>
      <c r="V3" s="28">
        <f>IF(MONTH(DATE(Jahr,8,21))=8,DATE(Jahr,8,21),"")</f>
        <v>46620</v>
      </c>
      <c r="W3" s="28">
        <f>IF(MONTH(DATE(Jahr,8,22))=8,DATE(Jahr,8,22),"")</f>
        <v>46621</v>
      </c>
      <c r="X3" s="28">
        <f>IF(MONTH(DATE(Jahr,8,23))=8,DATE(Jahr,8,23),"")</f>
        <v>46622</v>
      </c>
      <c r="Y3" s="28">
        <f>IF(MONTH(DATE(Jahr,8,24))=8,DATE(Jahr,8,24),"")</f>
        <v>46623</v>
      </c>
      <c r="Z3" s="28">
        <f>IF(MONTH(DATE(Jahr,8,25))=8,DATE(Jahr,8,25),"")</f>
        <v>46624</v>
      </c>
      <c r="AA3" s="28">
        <f>IF(MONTH(DATE(Jahr,8,26))=8,DATE(Jahr,8,26),"")</f>
        <v>46625</v>
      </c>
      <c r="AB3" s="28">
        <f>IF(MONTH(DATE(Jahr,8,27))=8,DATE(Jahr,8,27),"")</f>
        <v>46626</v>
      </c>
      <c r="AC3" s="28">
        <f>IF(MONTH(DATE(Jahr,8,28))=8,DATE(Jahr,8,28),"")</f>
        <v>46627</v>
      </c>
      <c r="AD3" s="28">
        <f>IF(MONTH(DATE(Jahr,8,29))=8,DATE(Jahr,8,29),"")</f>
        <v>46628</v>
      </c>
      <c r="AE3" s="28">
        <f>IF(MONTH(DATE(Jahr,8,30))=8,DATE(Jahr,8,30),"")</f>
        <v>46629</v>
      </c>
      <c r="AF3" s="28">
        <f>IF(MONTH(DATE(Jahr,8,31))=8,DATE(Jahr,8,31),"")</f>
        <v>46630</v>
      </c>
    </row>
    <row r="4" spans="1:36" x14ac:dyDescent="0.25">
      <c r="A4" s="29" t="s">
        <v>38</v>
      </c>
      <c r="B4" s="30">
        <f t="shared" ref="B4:AF4" si="1">B3</f>
        <v>46600</v>
      </c>
      <c r="C4" s="30">
        <f t="shared" si="1"/>
        <v>46601</v>
      </c>
      <c r="D4" s="30">
        <f t="shared" si="1"/>
        <v>46602</v>
      </c>
      <c r="E4" s="30">
        <f t="shared" si="1"/>
        <v>46603</v>
      </c>
      <c r="F4" s="30">
        <f t="shared" si="1"/>
        <v>46604</v>
      </c>
      <c r="G4" s="30">
        <f t="shared" si="1"/>
        <v>46605</v>
      </c>
      <c r="H4" s="30">
        <f t="shared" si="1"/>
        <v>46606</v>
      </c>
      <c r="I4" s="30">
        <f t="shared" si="1"/>
        <v>46607</v>
      </c>
      <c r="J4" s="30">
        <f t="shared" si="1"/>
        <v>46608</v>
      </c>
      <c r="K4" s="30">
        <f t="shared" si="1"/>
        <v>46609</v>
      </c>
      <c r="L4" s="30">
        <f t="shared" si="1"/>
        <v>46610</v>
      </c>
      <c r="M4" s="30">
        <f t="shared" si="1"/>
        <v>46611</v>
      </c>
      <c r="N4" s="30">
        <f t="shared" si="1"/>
        <v>46612</v>
      </c>
      <c r="O4" s="30">
        <f t="shared" si="1"/>
        <v>46613</v>
      </c>
      <c r="P4" s="30">
        <f t="shared" si="1"/>
        <v>46614</v>
      </c>
      <c r="Q4" s="30">
        <f t="shared" si="1"/>
        <v>46615</v>
      </c>
      <c r="R4" s="30">
        <f t="shared" si="1"/>
        <v>46616</v>
      </c>
      <c r="S4" s="30">
        <f t="shared" si="1"/>
        <v>46617</v>
      </c>
      <c r="T4" s="30">
        <f t="shared" si="1"/>
        <v>46618</v>
      </c>
      <c r="U4" s="30">
        <f t="shared" si="1"/>
        <v>46619</v>
      </c>
      <c r="V4" s="30">
        <f t="shared" si="1"/>
        <v>46620</v>
      </c>
      <c r="W4" s="30">
        <f t="shared" si="1"/>
        <v>46621</v>
      </c>
      <c r="X4" s="30">
        <f t="shared" si="1"/>
        <v>46622</v>
      </c>
      <c r="Y4" s="30">
        <f t="shared" si="1"/>
        <v>46623</v>
      </c>
      <c r="Z4" s="30">
        <f t="shared" si="1"/>
        <v>46624</v>
      </c>
      <c r="AA4" s="30">
        <f t="shared" si="1"/>
        <v>46625</v>
      </c>
      <c r="AB4" s="30">
        <f t="shared" si="1"/>
        <v>46626</v>
      </c>
      <c r="AC4" s="30">
        <f t="shared" si="1"/>
        <v>46627</v>
      </c>
      <c r="AD4" s="30">
        <f t="shared" si="1"/>
        <v>46628</v>
      </c>
      <c r="AE4" s="30">
        <f t="shared" si="1"/>
        <v>46629</v>
      </c>
      <c r="AF4" s="30">
        <f t="shared" si="1"/>
        <v>46630</v>
      </c>
      <c r="AH4" s="31" t="s">
        <v>56</v>
      </c>
      <c r="AI4" s="31" t="s">
        <v>57</v>
      </c>
      <c r="AJ4" s="31" t="s">
        <v>58</v>
      </c>
    </row>
    <row r="5" spans="1:36" x14ac:dyDescent="0.25">
      <c r="A5" s="32" t="str">
        <f>IF(Mitarbeitende!A5="","",Mitarbeitende!A5)</f>
        <v>Beispiel: Anna Muster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H5" s="34">
        <f t="shared" ref="AH5:AH34" si="2">SUMPRODUCT((B5:AF5="U")*$B$2:$AF$2)+0.5*SUMPRODUCT((B5:AF5="H")*$B$2:$AF$2)</f>
        <v>0</v>
      </c>
      <c r="AI5" s="35">
        <f t="shared" ref="AI5:AI34" si="3">SUMPRODUCT((B5:AF5="K")*$B$2:$AF$2)</f>
        <v>0</v>
      </c>
      <c r="AJ5" s="35">
        <f t="shared" ref="AJ5:AJ34" si="4">SUMPRODUCT((B5:AF5="S")*$B$2:$AF$2)</f>
        <v>0</v>
      </c>
    </row>
    <row r="6" spans="1:36" x14ac:dyDescent="0.25">
      <c r="A6" s="32" t="str">
        <f>IF(Mitarbeitende!A6="","",Mitarbeitende!A6)</f>
        <v>Beispiel: Ben Beispiel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H6" s="34">
        <f t="shared" si="2"/>
        <v>0</v>
      </c>
      <c r="AI6" s="35">
        <f t="shared" si="3"/>
        <v>0</v>
      </c>
      <c r="AJ6" s="35">
        <f t="shared" si="4"/>
        <v>0</v>
      </c>
    </row>
    <row r="7" spans="1:36" x14ac:dyDescent="0.25">
      <c r="A7" s="32" t="str">
        <f>IF(Mitarbeitende!A7="","",Mitarbeitende!A7)</f>
        <v/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H7" s="34">
        <f t="shared" si="2"/>
        <v>0</v>
      </c>
      <c r="AI7" s="35">
        <f t="shared" si="3"/>
        <v>0</v>
      </c>
      <c r="AJ7" s="35">
        <f t="shared" si="4"/>
        <v>0</v>
      </c>
    </row>
    <row r="8" spans="1:36" x14ac:dyDescent="0.25">
      <c r="A8" s="32" t="str">
        <f>IF(Mitarbeitende!A8="","",Mitarbeitende!A8)</f>
        <v/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H8" s="34">
        <f t="shared" si="2"/>
        <v>0</v>
      </c>
      <c r="AI8" s="35">
        <f t="shared" si="3"/>
        <v>0</v>
      </c>
      <c r="AJ8" s="35">
        <f t="shared" si="4"/>
        <v>0</v>
      </c>
    </row>
    <row r="9" spans="1:36" x14ac:dyDescent="0.25">
      <c r="A9" s="32" t="str">
        <f>IF(Mitarbeitende!A9="","",Mitarbeitende!A9)</f>
        <v/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H9" s="34">
        <f t="shared" si="2"/>
        <v>0</v>
      </c>
      <c r="AI9" s="35">
        <f t="shared" si="3"/>
        <v>0</v>
      </c>
      <c r="AJ9" s="35">
        <f t="shared" si="4"/>
        <v>0</v>
      </c>
    </row>
    <row r="10" spans="1:36" x14ac:dyDescent="0.25">
      <c r="A10" s="32" t="str">
        <f>IF(Mitarbeitende!A10="","",Mitarbeitende!A10)</f>
        <v/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H10" s="34">
        <f t="shared" si="2"/>
        <v>0</v>
      </c>
      <c r="AI10" s="35">
        <f t="shared" si="3"/>
        <v>0</v>
      </c>
      <c r="AJ10" s="35">
        <f t="shared" si="4"/>
        <v>0</v>
      </c>
    </row>
    <row r="11" spans="1:36" x14ac:dyDescent="0.25">
      <c r="A11" s="32" t="str">
        <f>IF(Mitarbeitende!A11="","",Mitarbeitende!A11)</f>
        <v/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H11" s="34">
        <f t="shared" si="2"/>
        <v>0</v>
      </c>
      <c r="AI11" s="35">
        <f t="shared" si="3"/>
        <v>0</v>
      </c>
      <c r="AJ11" s="35">
        <f t="shared" si="4"/>
        <v>0</v>
      </c>
    </row>
    <row r="12" spans="1:36" x14ac:dyDescent="0.25">
      <c r="A12" s="32" t="str">
        <f>IF(Mitarbeitende!A12="","",Mitarbeitende!A12)</f>
        <v/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H12" s="34">
        <f t="shared" si="2"/>
        <v>0</v>
      </c>
      <c r="AI12" s="35">
        <f t="shared" si="3"/>
        <v>0</v>
      </c>
      <c r="AJ12" s="35">
        <f t="shared" si="4"/>
        <v>0</v>
      </c>
    </row>
    <row r="13" spans="1:36" x14ac:dyDescent="0.25">
      <c r="A13" s="32" t="str">
        <f>IF(Mitarbeitende!A13="","",Mitarbeitende!A13)</f>
        <v/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H13" s="34">
        <f t="shared" si="2"/>
        <v>0</v>
      </c>
      <c r="AI13" s="35">
        <f t="shared" si="3"/>
        <v>0</v>
      </c>
      <c r="AJ13" s="35">
        <f t="shared" si="4"/>
        <v>0</v>
      </c>
    </row>
    <row r="14" spans="1:36" x14ac:dyDescent="0.25">
      <c r="A14" s="32" t="str">
        <f>IF(Mitarbeitende!A14="","",Mitarbeitende!A14)</f>
        <v/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H14" s="34">
        <f t="shared" si="2"/>
        <v>0</v>
      </c>
      <c r="AI14" s="35">
        <f t="shared" si="3"/>
        <v>0</v>
      </c>
      <c r="AJ14" s="35">
        <f t="shared" si="4"/>
        <v>0</v>
      </c>
    </row>
    <row r="15" spans="1:36" x14ac:dyDescent="0.25">
      <c r="A15" s="32" t="str">
        <f>IF(Mitarbeitende!A15="","",Mitarbeitende!A15)</f>
        <v/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H15" s="34">
        <f t="shared" si="2"/>
        <v>0</v>
      </c>
      <c r="AI15" s="35">
        <f t="shared" si="3"/>
        <v>0</v>
      </c>
      <c r="AJ15" s="35">
        <f t="shared" si="4"/>
        <v>0</v>
      </c>
    </row>
    <row r="16" spans="1:36" x14ac:dyDescent="0.25">
      <c r="A16" s="32" t="str">
        <f>IF(Mitarbeitende!A16="","",Mitarbeitende!A16)</f>
        <v/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H16" s="34">
        <f t="shared" si="2"/>
        <v>0</v>
      </c>
      <c r="AI16" s="35">
        <f t="shared" si="3"/>
        <v>0</v>
      </c>
      <c r="AJ16" s="35">
        <f t="shared" si="4"/>
        <v>0</v>
      </c>
    </row>
    <row r="17" spans="1:36" x14ac:dyDescent="0.25">
      <c r="A17" s="32" t="str">
        <f>IF(Mitarbeitende!A17="","",Mitarbeitende!A17)</f>
        <v/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H17" s="34">
        <f t="shared" si="2"/>
        <v>0</v>
      </c>
      <c r="AI17" s="35">
        <f t="shared" si="3"/>
        <v>0</v>
      </c>
      <c r="AJ17" s="35">
        <f t="shared" si="4"/>
        <v>0</v>
      </c>
    </row>
    <row r="18" spans="1:36" x14ac:dyDescent="0.25">
      <c r="A18" s="32" t="str">
        <f>IF(Mitarbeitende!A18="","",Mitarbeitende!A18)</f>
        <v/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H18" s="34">
        <f t="shared" si="2"/>
        <v>0</v>
      </c>
      <c r="AI18" s="35">
        <f t="shared" si="3"/>
        <v>0</v>
      </c>
      <c r="AJ18" s="35">
        <f t="shared" si="4"/>
        <v>0</v>
      </c>
    </row>
    <row r="19" spans="1:36" x14ac:dyDescent="0.25">
      <c r="A19" s="32" t="str">
        <f>IF(Mitarbeitende!A19="","",Mitarbeitende!A19)</f>
        <v/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H19" s="34">
        <f t="shared" si="2"/>
        <v>0</v>
      </c>
      <c r="AI19" s="35">
        <f t="shared" si="3"/>
        <v>0</v>
      </c>
      <c r="AJ19" s="35">
        <f t="shared" si="4"/>
        <v>0</v>
      </c>
    </row>
    <row r="20" spans="1:36" x14ac:dyDescent="0.25">
      <c r="A20" s="32" t="str">
        <f>IF(Mitarbeitende!A20="","",Mitarbeitende!A20)</f>
        <v/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H20" s="34">
        <f t="shared" si="2"/>
        <v>0</v>
      </c>
      <c r="AI20" s="35">
        <f t="shared" si="3"/>
        <v>0</v>
      </c>
      <c r="AJ20" s="35">
        <f t="shared" si="4"/>
        <v>0</v>
      </c>
    </row>
    <row r="21" spans="1:36" x14ac:dyDescent="0.25">
      <c r="A21" s="32" t="str">
        <f>IF(Mitarbeitende!A21="","",Mitarbeitende!A21)</f>
        <v/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H21" s="34">
        <f t="shared" si="2"/>
        <v>0</v>
      </c>
      <c r="AI21" s="35">
        <f t="shared" si="3"/>
        <v>0</v>
      </c>
      <c r="AJ21" s="35">
        <f t="shared" si="4"/>
        <v>0</v>
      </c>
    </row>
    <row r="22" spans="1:36" x14ac:dyDescent="0.25">
      <c r="A22" s="32" t="str">
        <f>IF(Mitarbeitende!A22="","",Mitarbeitende!A22)</f>
        <v/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H22" s="34">
        <f t="shared" si="2"/>
        <v>0</v>
      </c>
      <c r="AI22" s="35">
        <f t="shared" si="3"/>
        <v>0</v>
      </c>
      <c r="AJ22" s="35">
        <f t="shared" si="4"/>
        <v>0</v>
      </c>
    </row>
    <row r="23" spans="1:36" x14ac:dyDescent="0.25">
      <c r="A23" s="32" t="str">
        <f>IF(Mitarbeitende!A23="","",Mitarbeitende!A23)</f>
        <v/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H23" s="34">
        <f t="shared" si="2"/>
        <v>0</v>
      </c>
      <c r="AI23" s="35">
        <f t="shared" si="3"/>
        <v>0</v>
      </c>
      <c r="AJ23" s="35">
        <f t="shared" si="4"/>
        <v>0</v>
      </c>
    </row>
    <row r="24" spans="1:36" x14ac:dyDescent="0.25">
      <c r="A24" s="32" t="str">
        <f>IF(Mitarbeitende!A24="","",Mitarbeitende!A24)</f>
        <v/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H24" s="34">
        <f t="shared" si="2"/>
        <v>0</v>
      </c>
      <c r="AI24" s="35">
        <f t="shared" si="3"/>
        <v>0</v>
      </c>
      <c r="AJ24" s="35">
        <f t="shared" si="4"/>
        <v>0</v>
      </c>
    </row>
    <row r="25" spans="1:36" x14ac:dyDescent="0.25">
      <c r="A25" s="32" t="str">
        <f>IF(Mitarbeitende!A25="","",Mitarbeitende!A25)</f>
        <v/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H25" s="34">
        <f t="shared" si="2"/>
        <v>0</v>
      </c>
      <c r="AI25" s="35">
        <f t="shared" si="3"/>
        <v>0</v>
      </c>
      <c r="AJ25" s="35">
        <f t="shared" si="4"/>
        <v>0</v>
      </c>
    </row>
    <row r="26" spans="1:36" x14ac:dyDescent="0.25">
      <c r="A26" s="32" t="str">
        <f>IF(Mitarbeitende!A26="","",Mitarbeitende!A26)</f>
        <v/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H26" s="34">
        <f t="shared" si="2"/>
        <v>0</v>
      </c>
      <c r="AI26" s="35">
        <f t="shared" si="3"/>
        <v>0</v>
      </c>
      <c r="AJ26" s="35">
        <f t="shared" si="4"/>
        <v>0</v>
      </c>
    </row>
    <row r="27" spans="1:36" x14ac:dyDescent="0.25">
      <c r="A27" s="32" t="str">
        <f>IF(Mitarbeitende!A27="","",Mitarbeitende!A27)</f>
        <v/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H27" s="34">
        <f t="shared" si="2"/>
        <v>0</v>
      </c>
      <c r="AI27" s="35">
        <f t="shared" si="3"/>
        <v>0</v>
      </c>
      <c r="AJ27" s="35">
        <f t="shared" si="4"/>
        <v>0</v>
      </c>
    </row>
    <row r="28" spans="1:36" x14ac:dyDescent="0.25">
      <c r="A28" s="32" t="str">
        <f>IF(Mitarbeitende!A28="","",Mitarbeitende!A28)</f>
        <v/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H28" s="34">
        <f t="shared" si="2"/>
        <v>0</v>
      </c>
      <c r="AI28" s="35">
        <f t="shared" si="3"/>
        <v>0</v>
      </c>
      <c r="AJ28" s="35">
        <f t="shared" si="4"/>
        <v>0</v>
      </c>
    </row>
    <row r="29" spans="1:36" x14ac:dyDescent="0.25">
      <c r="A29" s="32" t="str">
        <f>IF(Mitarbeitende!A29="","",Mitarbeitende!A29)</f>
        <v/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H29" s="34">
        <f t="shared" si="2"/>
        <v>0</v>
      </c>
      <c r="AI29" s="35">
        <f t="shared" si="3"/>
        <v>0</v>
      </c>
      <c r="AJ29" s="35">
        <f t="shared" si="4"/>
        <v>0</v>
      </c>
    </row>
    <row r="30" spans="1:36" x14ac:dyDescent="0.25">
      <c r="A30" s="32" t="str">
        <f>IF(Mitarbeitende!A30="","",Mitarbeitende!A30)</f>
        <v/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H30" s="34">
        <f t="shared" si="2"/>
        <v>0</v>
      </c>
      <c r="AI30" s="35">
        <f t="shared" si="3"/>
        <v>0</v>
      </c>
      <c r="AJ30" s="35">
        <f t="shared" si="4"/>
        <v>0</v>
      </c>
    </row>
    <row r="31" spans="1:36" x14ac:dyDescent="0.25">
      <c r="A31" s="32" t="str">
        <f>IF(Mitarbeitende!A31="","",Mitarbeitende!A31)</f>
        <v/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H31" s="34">
        <f t="shared" si="2"/>
        <v>0</v>
      </c>
      <c r="AI31" s="35">
        <f t="shared" si="3"/>
        <v>0</v>
      </c>
      <c r="AJ31" s="35">
        <f t="shared" si="4"/>
        <v>0</v>
      </c>
    </row>
    <row r="32" spans="1:36" x14ac:dyDescent="0.25">
      <c r="A32" s="32" t="str">
        <f>IF(Mitarbeitende!A32="","",Mitarbeitende!A32)</f>
        <v/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H32" s="34">
        <f t="shared" si="2"/>
        <v>0</v>
      </c>
      <c r="AI32" s="35">
        <f t="shared" si="3"/>
        <v>0</v>
      </c>
      <c r="AJ32" s="35">
        <f t="shared" si="4"/>
        <v>0</v>
      </c>
    </row>
    <row r="33" spans="1:36" x14ac:dyDescent="0.25">
      <c r="A33" s="32" t="str">
        <f>IF(Mitarbeitende!A33="","",Mitarbeitende!A33)</f>
        <v/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H33" s="34">
        <f t="shared" si="2"/>
        <v>0</v>
      </c>
      <c r="AI33" s="35">
        <f t="shared" si="3"/>
        <v>0</v>
      </c>
      <c r="AJ33" s="35">
        <f t="shared" si="4"/>
        <v>0</v>
      </c>
    </row>
    <row r="34" spans="1:36" x14ac:dyDescent="0.25">
      <c r="A34" s="32" t="str">
        <f>IF(Mitarbeitende!A34="","",Mitarbeitende!A34)</f>
        <v/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H34" s="34">
        <f t="shared" si="2"/>
        <v>0</v>
      </c>
      <c r="AI34" s="35">
        <f t="shared" si="3"/>
        <v>0</v>
      </c>
      <c r="AJ34" s="35">
        <f t="shared" si="4"/>
        <v>0</v>
      </c>
    </row>
    <row r="36" spans="1:36" x14ac:dyDescent="0.25">
      <c r="A36" s="17" t="str">
        <f>"Arbeitstage im Monat: "&amp;SUM(B2:AF2)</f>
        <v>Arbeitstage im Monat: 22</v>
      </c>
    </row>
    <row r="37" spans="1:36" x14ac:dyDescent="0.25">
      <c r="A37" s="17" t="s">
        <v>59</v>
      </c>
    </row>
  </sheetData>
  <conditionalFormatting sqref="B3:AF34">
    <cfRule type="expression" dxfId="45" priority="7">
      <formula>B$3=""</formula>
    </cfRule>
    <cfRule type="expression" dxfId="44" priority="8">
      <formula>AND(B$3&lt;&gt;"",COUNTIF(Feiertage_aktiv,B$3)&gt;0)</formula>
    </cfRule>
    <cfRule type="expression" dxfId="43" priority="9">
      <formula>AND(B$3&lt;&gt;"",WEEKDAY(B$3,2)&gt;5)</formula>
    </cfRule>
  </conditionalFormatting>
  <conditionalFormatting sqref="B5:AF34">
    <cfRule type="expression" dxfId="42" priority="1" stopIfTrue="1">
      <formula>UPPER(B5)="U"</formula>
    </cfRule>
    <cfRule type="expression" dxfId="41" priority="2" stopIfTrue="1">
      <formula>UPPER(B5)="H"</formula>
    </cfRule>
    <cfRule type="expression" dxfId="40" priority="3" stopIfTrue="1">
      <formula>UPPER(B5)="K"</formula>
    </cfRule>
    <cfRule type="expression" dxfId="39" priority="4" stopIfTrue="1">
      <formula>UPPER(B5)="S"</formula>
    </cfRule>
    <cfRule type="expression" dxfId="38" priority="5" stopIfTrue="1">
      <formula>UPPER(B5)="Z"</formula>
    </cfRule>
    <cfRule type="expression" dxfId="37" priority="6" stopIfTrue="1">
      <formula>UPPER(B5)="F"</formula>
    </cfRule>
  </conditionalFormatting>
  <dataValidations count="1">
    <dataValidation type="list" allowBlank="1" showErrorMessage="1" errorTitle="Kürzel" error="Bitte U, H, K, S, Z oder F eintragen." sqref="B5:AF34" xr:uid="{00000000-0002-0000-0900-000000000000}">
      <formula1>"U,H,K,S,Z,F"</formula1>
    </dataValidation>
  </dataValidations>
  <pageMargins left="0.75" right="0.75" top="1" bottom="1" header="0.5" footer="0.5"/>
  <pageSetup fitToHeight="0" orientation="landscape"/>
  <headerFooter>
    <oddFooter>&amp;C&amp;8 &amp;K686E70Vorlage von seminaron.de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J37"/>
  <sheetViews>
    <sheetView showGridLines="0" zoomScale="9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4" customWidth="1"/>
    <col min="2" max="32" width="4.140625" customWidth="1"/>
    <col min="33" max="33" width="1.42578125" customWidth="1"/>
    <col min="34" max="36" width="8.42578125" customWidth="1"/>
  </cols>
  <sheetData>
    <row r="1" spans="1:36" ht="23.25" x14ac:dyDescent="0.35">
      <c r="A1" s="18" t="str">
        <f>"September "&amp;Jahr&amp;IF(Firma="",""," · "&amp;Firma)</f>
        <v>September 2027</v>
      </c>
    </row>
    <row r="2" spans="1:36" hidden="1" x14ac:dyDescent="0.25">
      <c r="A2" s="26" t="s">
        <v>55</v>
      </c>
      <c r="B2" s="27">
        <f t="shared" ref="B2:AF2" si="0">IF(B3="",0,IF(WEEKDAY(B3,2)&gt;5,0,IF(COUNTIF(Feiertage_aktiv,B3)&gt;0,0,1)))</f>
        <v>1</v>
      </c>
      <c r="C2" s="27">
        <f t="shared" si="0"/>
        <v>1</v>
      </c>
      <c r="D2" s="27">
        <f t="shared" si="0"/>
        <v>1</v>
      </c>
      <c r="E2" s="27">
        <f t="shared" si="0"/>
        <v>0</v>
      </c>
      <c r="F2" s="27">
        <f t="shared" si="0"/>
        <v>0</v>
      </c>
      <c r="G2" s="27">
        <f t="shared" si="0"/>
        <v>1</v>
      </c>
      <c r="H2" s="27">
        <f t="shared" si="0"/>
        <v>1</v>
      </c>
      <c r="I2" s="27">
        <f t="shared" si="0"/>
        <v>1</v>
      </c>
      <c r="J2" s="27">
        <f t="shared" si="0"/>
        <v>1</v>
      </c>
      <c r="K2" s="27">
        <f t="shared" si="0"/>
        <v>1</v>
      </c>
      <c r="L2" s="27">
        <f t="shared" si="0"/>
        <v>0</v>
      </c>
      <c r="M2" s="27">
        <f t="shared" si="0"/>
        <v>0</v>
      </c>
      <c r="N2" s="27">
        <f t="shared" si="0"/>
        <v>1</v>
      </c>
      <c r="O2" s="27">
        <f t="shared" si="0"/>
        <v>1</v>
      </c>
      <c r="P2" s="27">
        <f t="shared" si="0"/>
        <v>1</v>
      </c>
      <c r="Q2" s="27">
        <f t="shared" si="0"/>
        <v>1</v>
      </c>
      <c r="R2" s="27">
        <f t="shared" si="0"/>
        <v>1</v>
      </c>
      <c r="S2" s="27">
        <f t="shared" si="0"/>
        <v>0</v>
      </c>
      <c r="T2" s="27">
        <f t="shared" si="0"/>
        <v>0</v>
      </c>
      <c r="U2" s="27">
        <f t="shared" si="0"/>
        <v>1</v>
      </c>
      <c r="V2" s="27">
        <f t="shared" si="0"/>
        <v>1</v>
      </c>
      <c r="W2" s="27">
        <f t="shared" si="0"/>
        <v>1</v>
      </c>
      <c r="X2" s="27">
        <f t="shared" si="0"/>
        <v>1</v>
      </c>
      <c r="Y2" s="27">
        <f t="shared" si="0"/>
        <v>1</v>
      </c>
      <c r="Z2" s="27">
        <f t="shared" si="0"/>
        <v>0</v>
      </c>
      <c r="AA2" s="27">
        <f t="shared" si="0"/>
        <v>0</v>
      </c>
      <c r="AB2" s="27">
        <f t="shared" si="0"/>
        <v>1</v>
      </c>
      <c r="AC2" s="27">
        <f t="shared" si="0"/>
        <v>1</v>
      </c>
      <c r="AD2" s="27">
        <f t="shared" si="0"/>
        <v>1</v>
      </c>
      <c r="AE2" s="27">
        <f t="shared" si="0"/>
        <v>1</v>
      </c>
      <c r="AF2" s="27">
        <f t="shared" si="0"/>
        <v>0</v>
      </c>
    </row>
    <row r="3" spans="1:36" x14ac:dyDescent="0.25">
      <c r="A3" s="17" t="str">
        <f>"Bundesland: "&amp;Bundesland</f>
        <v>Bundesland: Nordrhein-Westfalen</v>
      </c>
      <c r="B3" s="28">
        <f>IF(MONTH(DATE(Jahr,9,1))=9,DATE(Jahr,9,1),"")</f>
        <v>46631</v>
      </c>
      <c r="C3" s="28">
        <f>IF(MONTH(DATE(Jahr,9,2))=9,DATE(Jahr,9,2),"")</f>
        <v>46632</v>
      </c>
      <c r="D3" s="28">
        <f>IF(MONTH(DATE(Jahr,9,3))=9,DATE(Jahr,9,3),"")</f>
        <v>46633</v>
      </c>
      <c r="E3" s="28">
        <f>IF(MONTH(DATE(Jahr,9,4))=9,DATE(Jahr,9,4),"")</f>
        <v>46634</v>
      </c>
      <c r="F3" s="28">
        <f>IF(MONTH(DATE(Jahr,9,5))=9,DATE(Jahr,9,5),"")</f>
        <v>46635</v>
      </c>
      <c r="G3" s="28">
        <f>IF(MONTH(DATE(Jahr,9,6))=9,DATE(Jahr,9,6),"")</f>
        <v>46636</v>
      </c>
      <c r="H3" s="28">
        <f>IF(MONTH(DATE(Jahr,9,7))=9,DATE(Jahr,9,7),"")</f>
        <v>46637</v>
      </c>
      <c r="I3" s="28">
        <f>IF(MONTH(DATE(Jahr,9,8))=9,DATE(Jahr,9,8),"")</f>
        <v>46638</v>
      </c>
      <c r="J3" s="28">
        <f>IF(MONTH(DATE(Jahr,9,9))=9,DATE(Jahr,9,9),"")</f>
        <v>46639</v>
      </c>
      <c r="K3" s="28">
        <f>IF(MONTH(DATE(Jahr,9,10))=9,DATE(Jahr,9,10),"")</f>
        <v>46640</v>
      </c>
      <c r="L3" s="28">
        <f>IF(MONTH(DATE(Jahr,9,11))=9,DATE(Jahr,9,11),"")</f>
        <v>46641</v>
      </c>
      <c r="M3" s="28">
        <f>IF(MONTH(DATE(Jahr,9,12))=9,DATE(Jahr,9,12),"")</f>
        <v>46642</v>
      </c>
      <c r="N3" s="28">
        <f>IF(MONTH(DATE(Jahr,9,13))=9,DATE(Jahr,9,13),"")</f>
        <v>46643</v>
      </c>
      <c r="O3" s="28">
        <f>IF(MONTH(DATE(Jahr,9,14))=9,DATE(Jahr,9,14),"")</f>
        <v>46644</v>
      </c>
      <c r="P3" s="28">
        <f>IF(MONTH(DATE(Jahr,9,15))=9,DATE(Jahr,9,15),"")</f>
        <v>46645</v>
      </c>
      <c r="Q3" s="28">
        <f>IF(MONTH(DATE(Jahr,9,16))=9,DATE(Jahr,9,16),"")</f>
        <v>46646</v>
      </c>
      <c r="R3" s="28">
        <f>IF(MONTH(DATE(Jahr,9,17))=9,DATE(Jahr,9,17),"")</f>
        <v>46647</v>
      </c>
      <c r="S3" s="28">
        <f>IF(MONTH(DATE(Jahr,9,18))=9,DATE(Jahr,9,18),"")</f>
        <v>46648</v>
      </c>
      <c r="T3" s="28">
        <f>IF(MONTH(DATE(Jahr,9,19))=9,DATE(Jahr,9,19),"")</f>
        <v>46649</v>
      </c>
      <c r="U3" s="28">
        <f>IF(MONTH(DATE(Jahr,9,20))=9,DATE(Jahr,9,20),"")</f>
        <v>46650</v>
      </c>
      <c r="V3" s="28">
        <f>IF(MONTH(DATE(Jahr,9,21))=9,DATE(Jahr,9,21),"")</f>
        <v>46651</v>
      </c>
      <c r="W3" s="28">
        <f>IF(MONTH(DATE(Jahr,9,22))=9,DATE(Jahr,9,22),"")</f>
        <v>46652</v>
      </c>
      <c r="X3" s="28">
        <f>IF(MONTH(DATE(Jahr,9,23))=9,DATE(Jahr,9,23),"")</f>
        <v>46653</v>
      </c>
      <c r="Y3" s="28">
        <f>IF(MONTH(DATE(Jahr,9,24))=9,DATE(Jahr,9,24),"")</f>
        <v>46654</v>
      </c>
      <c r="Z3" s="28">
        <f>IF(MONTH(DATE(Jahr,9,25))=9,DATE(Jahr,9,25),"")</f>
        <v>46655</v>
      </c>
      <c r="AA3" s="28">
        <f>IF(MONTH(DATE(Jahr,9,26))=9,DATE(Jahr,9,26),"")</f>
        <v>46656</v>
      </c>
      <c r="AB3" s="28">
        <f>IF(MONTH(DATE(Jahr,9,27))=9,DATE(Jahr,9,27),"")</f>
        <v>46657</v>
      </c>
      <c r="AC3" s="28">
        <f>IF(MONTH(DATE(Jahr,9,28))=9,DATE(Jahr,9,28),"")</f>
        <v>46658</v>
      </c>
      <c r="AD3" s="28">
        <f>IF(MONTH(DATE(Jahr,9,29))=9,DATE(Jahr,9,29),"")</f>
        <v>46659</v>
      </c>
      <c r="AE3" s="28">
        <f>IF(MONTH(DATE(Jahr,9,30))=9,DATE(Jahr,9,30),"")</f>
        <v>46660</v>
      </c>
      <c r="AF3" s="28" t="str">
        <f>IF(MONTH(DATE(Jahr,9,31))=9,DATE(Jahr,9,31),"")</f>
        <v/>
      </c>
    </row>
    <row r="4" spans="1:36" x14ac:dyDescent="0.25">
      <c r="A4" s="29" t="s">
        <v>38</v>
      </c>
      <c r="B4" s="30">
        <f t="shared" ref="B4:AF4" si="1">B3</f>
        <v>46631</v>
      </c>
      <c r="C4" s="30">
        <f t="shared" si="1"/>
        <v>46632</v>
      </c>
      <c r="D4" s="30">
        <f t="shared" si="1"/>
        <v>46633</v>
      </c>
      <c r="E4" s="30">
        <f t="shared" si="1"/>
        <v>46634</v>
      </c>
      <c r="F4" s="30">
        <f t="shared" si="1"/>
        <v>46635</v>
      </c>
      <c r="G4" s="30">
        <f t="shared" si="1"/>
        <v>46636</v>
      </c>
      <c r="H4" s="30">
        <f t="shared" si="1"/>
        <v>46637</v>
      </c>
      <c r="I4" s="30">
        <f t="shared" si="1"/>
        <v>46638</v>
      </c>
      <c r="J4" s="30">
        <f t="shared" si="1"/>
        <v>46639</v>
      </c>
      <c r="K4" s="30">
        <f t="shared" si="1"/>
        <v>46640</v>
      </c>
      <c r="L4" s="30">
        <f t="shared" si="1"/>
        <v>46641</v>
      </c>
      <c r="M4" s="30">
        <f t="shared" si="1"/>
        <v>46642</v>
      </c>
      <c r="N4" s="30">
        <f t="shared" si="1"/>
        <v>46643</v>
      </c>
      <c r="O4" s="30">
        <f t="shared" si="1"/>
        <v>46644</v>
      </c>
      <c r="P4" s="30">
        <f t="shared" si="1"/>
        <v>46645</v>
      </c>
      <c r="Q4" s="30">
        <f t="shared" si="1"/>
        <v>46646</v>
      </c>
      <c r="R4" s="30">
        <f t="shared" si="1"/>
        <v>46647</v>
      </c>
      <c r="S4" s="30">
        <f t="shared" si="1"/>
        <v>46648</v>
      </c>
      <c r="T4" s="30">
        <f t="shared" si="1"/>
        <v>46649</v>
      </c>
      <c r="U4" s="30">
        <f t="shared" si="1"/>
        <v>46650</v>
      </c>
      <c r="V4" s="30">
        <f t="shared" si="1"/>
        <v>46651</v>
      </c>
      <c r="W4" s="30">
        <f t="shared" si="1"/>
        <v>46652</v>
      </c>
      <c r="X4" s="30">
        <f t="shared" si="1"/>
        <v>46653</v>
      </c>
      <c r="Y4" s="30">
        <f t="shared" si="1"/>
        <v>46654</v>
      </c>
      <c r="Z4" s="30">
        <f t="shared" si="1"/>
        <v>46655</v>
      </c>
      <c r="AA4" s="30">
        <f t="shared" si="1"/>
        <v>46656</v>
      </c>
      <c r="AB4" s="30">
        <f t="shared" si="1"/>
        <v>46657</v>
      </c>
      <c r="AC4" s="30">
        <f t="shared" si="1"/>
        <v>46658</v>
      </c>
      <c r="AD4" s="30">
        <f t="shared" si="1"/>
        <v>46659</v>
      </c>
      <c r="AE4" s="30">
        <f t="shared" si="1"/>
        <v>46660</v>
      </c>
      <c r="AF4" s="30" t="str">
        <f t="shared" si="1"/>
        <v/>
      </c>
      <c r="AH4" s="31" t="s">
        <v>56</v>
      </c>
      <c r="AI4" s="31" t="s">
        <v>57</v>
      </c>
      <c r="AJ4" s="31" t="s">
        <v>58</v>
      </c>
    </row>
    <row r="5" spans="1:36" x14ac:dyDescent="0.25">
      <c r="A5" s="32" t="str">
        <f>IF(Mitarbeitende!A5="","",Mitarbeitende!A5)</f>
        <v>Beispiel: Anna Muster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H5" s="34">
        <f t="shared" ref="AH5:AH34" si="2">SUMPRODUCT((B5:AF5="U")*$B$2:$AF$2)+0.5*SUMPRODUCT((B5:AF5="H")*$B$2:$AF$2)</f>
        <v>0</v>
      </c>
      <c r="AI5" s="35">
        <f t="shared" ref="AI5:AI34" si="3">SUMPRODUCT((B5:AF5="K")*$B$2:$AF$2)</f>
        <v>0</v>
      </c>
      <c r="AJ5" s="35">
        <f t="shared" ref="AJ5:AJ34" si="4">SUMPRODUCT((B5:AF5="S")*$B$2:$AF$2)</f>
        <v>0</v>
      </c>
    </row>
    <row r="6" spans="1:36" x14ac:dyDescent="0.25">
      <c r="A6" s="32" t="str">
        <f>IF(Mitarbeitende!A6="","",Mitarbeitende!A6)</f>
        <v>Beispiel: Ben Beispiel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H6" s="34">
        <f t="shared" si="2"/>
        <v>0</v>
      </c>
      <c r="AI6" s="35">
        <f t="shared" si="3"/>
        <v>0</v>
      </c>
      <c r="AJ6" s="35">
        <f t="shared" si="4"/>
        <v>0</v>
      </c>
    </row>
    <row r="7" spans="1:36" x14ac:dyDescent="0.25">
      <c r="A7" s="32" t="str">
        <f>IF(Mitarbeitende!A7="","",Mitarbeitende!A7)</f>
        <v/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H7" s="34">
        <f t="shared" si="2"/>
        <v>0</v>
      </c>
      <c r="AI7" s="35">
        <f t="shared" si="3"/>
        <v>0</v>
      </c>
      <c r="AJ7" s="35">
        <f t="shared" si="4"/>
        <v>0</v>
      </c>
    </row>
    <row r="8" spans="1:36" x14ac:dyDescent="0.25">
      <c r="A8" s="32" t="str">
        <f>IF(Mitarbeitende!A8="","",Mitarbeitende!A8)</f>
        <v/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H8" s="34">
        <f t="shared" si="2"/>
        <v>0</v>
      </c>
      <c r="AI8" s="35">
        <f t="shared" si="3"/>
        <v>0</v>
      </c>
      <c r="AJ8" s="35">
        <f t="shared" si="4"/>
        <v>0</v>
      </c>
    </row>
    <row r="9" spans="1:36" x14ac:dyDescent="0.25">
      <c r="A9" s="32" t="str">
        <f>IF(Mitarbeitende!A9="","",Mitarbeitende!A9)</f>
        <v/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H9" s="34">
        <f t="shared" si="2"/>
        <v>0</v>
      </c>
      <c r="AI9" s="35">
        <f t="shared" si="3"/>
        <v>0</v>
      </c>
      <c r="AJ9" s="35">
        <f t="shared" si="4"/>
        <v>0</v>
      </c>
    </row>
    <row r="10" spans="1:36" x14ac:dyDescent="0.25">
      <c r="A10" s="32" t="str">
        <f>IF(Mitarbeitende!A10="","",Mitarbeitende!A10)</f>
        <v/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H10" s="34">
        <f t="shared" si="2"/>
        <v>0</v>
      </c>
      <c r="AI10" s="35">
        <f t="shared" si="3"/>
        <v>0</v>
      </c>
      <c r="AJ10" s="35">
        <f t="shared" si="4"/>
        <v>0</v>
      </c>
    </row>
    <row r="11" spans="1:36" x14ac:dyDescent="0.25">
      <c r="A11" s="32" t="str">
        <f>IF(Mitarbeitende!A11="","",Mitarbeitende!A11)</f>
        <v/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H11" s="34">
        <f t="shared" si="2"/>
        <v>0</v>
      </c>
      <c r="AI11" s="35">
        <f t="shared" si="3"/>
        <v>0</v>
      </c>
      <c r="AJ11" s="35">
        <f t="shared" si="4"/>
        <v>0</v>
      </c>
    </row>
    <row r="12" spans="1:36" x14ac:dyDescent="0.25">
      <c r="A12" s="32" t="str">
        <f>IF(Mitarbeitende!A12="","",Mitarbeitende!A12)</f>
        <v/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H12" s="34">
        <f t="shared" si="2"/>
        <v>0</v>
      </c>
      <c r="AI12" s="35">
        <f t="shared" si="3"/>
        <v>0</v>
      </c>
      <c r="AJ12" s="35">
        <f t="shared" si="4"/>
        <v>0</v>
      </c>
    </row>
    <row r="13" spans="1:36" x14ac:dyDescent="0.25">
      <c r="A13" s="32" t="str">
        <f>IF(Mitarbeitende!A13="","",Mitarbeitende!A13)</f>
        <v/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H13" s="34">
        <f t="shared" si="2"/>
        <v>0</v>
      </c>
      <c r="AI13" s="35">
        <f t="shared" si="3"/>
        <v>0</v>
      </c>
      <c r="AJ13" s="35">
        <f t="shared" si="4"/>
        <v>0</v>
      </c>
    </row>
    <row r="14" spans="1:36" x14ac:dyDescent="0.25">
      <c r="A14" s="32" t="str">
        <f>IF(Mitarbeitende!A14="","",Mitarbeitende!A14)</f>
        <v/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H14" s="34">
        <f t="shared" si="2"/>
        <v>0</v>
      </c>
      <c r="AI14" s="35">
        <f t="shared" si="3"/>
        <v>0</v>
      </c>
      <c r="AJ14" s="35">
        <f t="shared" si="4"/>
        <v>0</v>
      </c>
    </row>
    <row r="15" spans="1:36" x14ac:dyDescent="0.25">
      <c r="A15" s="32" t="str">
        <f>IF(Mitarbeitende!A15="","",Mitarbeitende!A15)</f>
        <v/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H15" s="34">
        <f t="shared" si="2"/>
        <v>0</v>
      </c>
      <c r="AI15" s="35">
        <f t="shared" si="3"/>
        <v>0</v>
      </c>
      <c r="AJ15" s="35">
        <f t="shared" si="4"/>
        <v>0</v>
      </c>
    </row>
    <row r="16" spans="1:36" x14ac:dyDescent="0.25">
      <c r="A16" s="32" t="str">
        <f>IF(Mitarbeitende!A16="","",Mitarbeitende!A16)</f>
        <v/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H16" s="34">
        <f t="shared" si="2"/>
        <v>0</v>
      </c>
      <c r="AI16" s="35">
        <f t="shared" si="3"/>
        <v>0</v>
      </c>
      <c r="AJ16" s="35">
        <f t="shared" si="4"/>
        <v>0</v>
      </c>
    </row>
    <row r="17" spans="1:36" x14ac:dyDescent="0.25">
      <c r="A17" s="32" t="str">
        <f>IF(Mitarbeitende!A17="","",Mitarbeitende!A17)</f>
        <v/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H17" s="34">
        <f t="shared" si="2"/>
        <v>0</v>
      </c>
      <c r="AI17" s="35">
        <f t="shared" si="3"/>
        <v>0</v>
      </c>
      <c r="AJ17" s="35">
        <f t="shared" si="4"/>
        <v>0</v>
      </c>
    </row>
    <row r="18" spans="1:36" x14ac:dyDescent="0.25">
      <c r="A18" s="32" t="str">
        <f>IF(Mitarbeitende!A18="","",Mitarbeitende!A18)</f>
        <v/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H18" s="34">
        <f t="shared" si="2"/>
        <v>0</v>
      </c>
      <c r="AI18" s="35">
        <f t="shared" si="3"/>
        <v>0</v>
      </c>
      <c r="AJ18" s="35">
        <f t="shared" si="4"/>
        <v>0</v>
      </c>
    </row>
    <row r="19" spans="1:36" x14ac:dyDescent="0.25">
      <c r="A19" s="32" t="str">
        <f>IF(Mitarbeitende!A19="","",Mitarbeitende!A19)</f>
        <v/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H19" s="34">
        <f t="shared" si="2"/>
        <v>0</v>
      </c>
      <c r="AI19" s="35">
        <f t="shared" si="3"/>
        <v>0</v>
      </c>
      <c r="AJ19" s="35">
        <f t="shared" si="4"/>
        <v>0</v>
      </c>
    </row>
    <row r="20" spans="1:36" x14ac:dyDescent="0.25">
      <c r="A20" s="32" t="str">
        <f>IF(Mitarbeitende!A20="","",Mitarbeitende!A20)</f>
        <v/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H20" s="34">
        <f t="shared" si="2"/>
        <v>0</v>
      </c>
      <c r="AI20" s="35">
        <f t="shared" si="3"/>
        <v>0</v>
      </c>
      <c r="AJ20" s="35">
        <f t="shared" si="4"/>
        <v>0</v>
      </c>
    </row>
    <row r="21" spans="1:36" x14ac:dyDescent="0.25">
      <c r="A21" s="32" t="str">
        <f>IF(Mitarbeitende!A21="","",Mitarbeitende!A21)</f>
        <v/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H21" s="34">
        <f t="shared" si="2"/>
        <v>0</v>
      </c>
      <c r="AI21" s="35">
        <f t="shared" si="3"/>
        <v>0</v>
      </c>
      <c r="AJ21" s="35">
        <f t="shared" si="4"/>
        <v>0</v>
      </c>
    </row>
    <row r="22" spans="1:36" x14ac:dyDescent="0.25">
      <c r="A22" s="32" t="str">
        <f>IF(Mitarbeitende!A22="","",Mitarbeitende!A22)</f>
        <v/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H22" s="34">
        <f t="shared" si="2"/>
        <v>0</v>
      </c>
      <c r="AI22" s="35">
        <f t="shared" si="3"/>
        <v>0</v>
      </c>
      <c r="AJ22" s="35">
        <f t="shared" si="4"/>
        <v>0</v>
      </c>
    </row>
    <row r="23" spans="1:36" x14ac:dyDescent="0.25">
      <c r="A23" s="32" t="str">
        <f>IF(Mitarbeitende!A23="","",Mitarbeitende!A23)</f>
        <v/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H23" s="34">
        <f t="shared" si="2"/>
        <v>0</v>
      </c>
      <c r="AI23" s="35">
        <f t="shared" si="3"/>
        <v>0</v>
      </c>
      <c r="AJ23" s="35">
        <f t="shared" si="4"/>
        <v>0</v>
      </c>
    </row>
    <row r="24" spans="1:36" x14ac:dyDescent="0.25">
      <c r="A24" s="32" t="str">
        <f>IF(Mitarbeitende!A24="","",Mitarbeitende!A24)</f>
        <v/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H24" s="34">
        <f t="shared" si="2"/>
        <v>0</v>
      </c>
      <c r="AI24" s="35">
        <f t="shared" si="3"/>
        <v>0</v>
      </c>
      <c r="AJ24" s="35">
        <f t="shared" si="4"/>
        <v>0</v>
      </c>
    </row>
    <row r="25" spans="1:36" x14ac:dyDescent="0.25">
      <c r="A25" s="32" t="str">
        <f>IF(Mitarbeitende!A25="","",Mitarbeitende!A25)</f>
        <v/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H25" s="34">
        <f t="shared" si="2"/>
        <v>0</v>
      </c>
      <c r="AI25" s="35">
        <f t="shared" si="3"/>
        <v>0</v>
      </c>
      <c r="AJ25" s="35">
        <f t="shared" si="4"/>
        <v>0</v>
      </c>
    </row>
    <row r="26" spans="1:36" x14ac:dyDescent="0.25">
      <c r="A26" s="32" t="str">
        <f>IF(Mitarbeitende!A26="","",Mitarbeitende!A26)</f>
        <v/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H26" s="34">
        <f t="shared" si="2"/>
        <v>0</v>
      </c>
      <c r="AI26" s="35">
        <f t="shared" si="3"/>
        <v>0</v>
      </c>
      <c r="AJ26" s="35">
        <f t="shared" si="4"/>
        <v>0</v>
      </c>
    </row>
    <row r="27" spans="1:36" x14ac:dyDescent="0.25">
      <c r="A27" s="32" t="str">
        <f>IF(Mitarbeitende!A27="","",Mitarbeitende!A27)</f>
        <v/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H27" s="34">
        <f t="shared" si="2"/>
        <v>0</v>
      </c>
      <c r="AI27" s="35">
        <f t="shared" si="3"/>
        <v>0</v>
      </c>
      <c r="AJ27" s="35">
        <f t="shared" si="4"/>
        <v>0</v>
      </c>
    </row>
    <row r="28" spans="1:36" x14ac:dyDescent="0.25">
      <c r="A28" s="32" t="str">
        <f>IF(Mitarbeitende!A28="","",Mitarbeitende!A28)</f>
        <v/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H28" s="34">
        <f t="shared" si="2"/>
        <v>0</v>
      </c>
      <c r="AI28" s="35">
        <f t="shared" si="3"/>
        <v>0</v>
      </c>
      <c r="AJ28" s="35">
        <f t="shared" si="4"/>
        <v>0</v>
      </c>
    </row>
    <row r="29" spans="1:36" x14ac:dyDescent="0.25">
      <c r="A29" s="32" t="str">
        <f>IF(Mitarbeitende!A29="","",Mitarbeitende!A29)</f>
        <v/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H29" s="34">
        <f t="shared" si="2"/>
        <v>0</v>
      </c>
      <c r="AI29" s="35">
        <f t="shared" si="3"/>
        <v>0</v>
      </c>
      <c r="AJ29" s="35">
        <f t="shared" si="4"/>
        <v>0</v>
      </c>
    </row>
    <row r="30" spans="1:36" x14ac:dyDescent="0.25">
      <c r="A30" s="32" t="str">
        <f>IF(Mitarbeitende!A30="","",Mitarbeitende!A30)</f>
        <v/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H30" s="34">
        <f t="shared" si="2"/>
        <v>0</v>
      </c>
      <c r="AI30" s="35">
        <f t="shared" si="3"/>
        <v>0</v>
      </c>
      <c r="AJ30" s="35">
        <f t="shared" si="4"/>
        <v>0</v>
      </c>
    </row>
    <row r="31" spans="1:36" x14ac:dyDescent="0.25">
      <c r="A31" s="32" t="str">
        <f>IF(Mitarbeitende!A31="","",Mitarbeitende!A31)</f>
        <v/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H31" s="34">
        <f t="shared" si="2"/>
        <v>0</v>
      </c>
      <c r="AI31" s="35">
        <f t="shared" si="3"/>
        <v>0</v>
      </c>
      <c r="AJ31" s="35">
        <f t="shared" si="4"/>
        <v>0</v>
      </c>
    </row>
    <row r="32" spans="1:36" x14ac:dyDescent="0.25">
      <c r="A32" s="32" t="str">
        <f>IF(Mitarbeitende!A32="","",Mitarbeitende!A32)</f>
        <v/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H32" s="34">
        <f t="shared" si="2"/>
        <v>0</v>
      </c>
      <c r="AI32" s="35">
        <f t="shared" si="3"/>
        <v>0</v>
      </c>
      <c r="AJ32" s="35">
        <f t="shared" si="4"/>
        <v>0</v>
      </c>
    </row>
    <row r="33" spans="1:36" x14ac:dyDescent="0.25">
      <c r="A33" s="32" t="str">
        <f>IF(Mitarbeitende!A33="","",Mitarbeitende!A33)</f>
        <v/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H33" s="34">
        <f t="shared" si="2"/>
        <v>0</v>
      </c>
      <c r="AI33" s="35">
        <f t="shared" si="3"/>
        <v>0</v>
      </c>
      <c r="AJ33" s="35">
        <f t="shared" si="4"/>
        <v>0</v>
      </c>
    </row>
    <row r="34" spans="1:36" x14ac:dyDescent="0.25">
      <c r="A34" s="32" t="str">
        <f>IF(Mitarbeitende!A34="","",Mitarbeitende!A34)</f>
        <v/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H34" s="34">
        <f t="shared" si="2"/>
        <v>0</v>
      </c>
      <c r="AI34" s="35">
        <f t="shared" si="3"/>
        <v>0</v>
      </c>
      <c r="AJ34" s="35">
        <f t="shared" si="4"/>
        <v>0</v>
      </c>
    </row>
    <row r="36" spans="1:36" x14ac:dyDescent="0.25">
      <c r="A36" s="17" t="str">
        <f>"Arbeitstage im Monat: "&amp;SUM(B2:AF2)</f>
        <v>Arbeitstage im Monat: 22</v>
      </c>
    </row>
    <row r="37" spans="1:36" x14ac:dyDescent="0.25">
      <c r="A37" s="17" t="s">
        <v>59</v>
      </c>
    </row>
  </sheetData>
  <conditionalFormatting sqref="B3:AF34">
    <cfRule type="expression" dxfId="36" priority="7">
      <formula>B$3=""</formula>
    </cfRule>
    <cfRule type="expression" dxfId="35" priority="8">
      <formula>AND(B$3&lt;&gt;"",COUNTIF(Feiertage_aktiv,B$3)&gt;0)</formula>
    </cfRule>
    <cfRule type="expression" dxfId="34" priority="9">
      <formula>AND(B$3&lt;&gt;"",WEEKDAY(B$3,2)&gt;5)</formula>
    </cfRule>
  </conditionalFormatting>
  <conditionalFormatting sqref="B5:AF34">
    <cfRule type="expression" dxfId="33" priority="1" stopIfTrue="1">
      <formula>UPPER(B5)="U"</formula>
    </cfRule>
    <cfRule type="expression" dxfId="32" priority="2" stopIfTrue="1">
      <formula>UPPER(B5)="H"</formula>
    </cfRule>
    <cfRule type="expression" dxfId="31" priority="3" stopIfTrue="1">
      <formula>UPPER(B5)="K"</formula>
    </cfRule>
    <cfRule type="expression" dxfId="30" priority="4" stopIfTrue="1">
      <formula>UPPER(B5)="S"</formula>
    </cfRule>
    <cfRule type="expression" dxfId="29" priority="5" stopIfTrue="1">
      <formula>UPPER(B5)="Z"</formula>
    </cfRule>
    <cfRule type="expression" dxfId="28" priority="6" stopIfTrue="1">
      <formula>UPPER(B5)="F"</formula>
    </cfRule>
  </conditionalFormatting>
  <dataValidations count="1">
    <dataValidation type="list" allowBlank="1" showErrorMessage="1" errorTitle="Kürzel" error="Bitte U, H, K, S, Z oder F eintragen." sqref="B5:AF34" xr:uid="{00000000-0002-0000-0A00-000000000000}">
      <formula1>"U,H,K,S,Z,F"</formula1>
    </dataValidation>
  </dataValidations>
  <pageMargins left="0.75" right="0.75" top="1" bottom="1" header="0.5" footer="0.5"/>
  <pageSetup fitToHeight="0" orientation="landscape"/>
  <headerFooter>
    <oddFooter>&amp;C&amp;8 &amp;K686E70Vorlage von seminaron.de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J37"/>
  <sheetViews>
    <sheetView showGridLines="0" zoomScale="9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4" customWidth="1"/>
    <col min="2" max="32" width="4.140625" customWidth="1"/>
    <col min="33" max="33" width="1.42578125" customWidth="1"/>
    <col min="34" max="36" width="8.42578125" customWidth="1"/>
  </cols>
  <sheetData>
    <row r="1" spans="1:36" ht="23.25" x14ac:dyDescent="0.35">
      <c r="A1" s="18" t="str">
        <f>"Oktober "&amp;Jahr&amp;IF(Firma="",""," · "&amp;Firma)</f>
        <v>Oktober 2027</v>
      </c>
    </row>
    <row r="2" spans="1:36" hidden="1" x14ac:dyDescent="0.25">
      <c r="A2" s="26" t="s">
        <v>55</v>
      </c>
      <c r="B2" s="27">
        <f t="shared" ref="B2:AF2" si="0">IF(B3="",0,IF(WEEKDAY(B3,2)&gt;5,0,IF(COUNTIF(Feiertage_aktiv,B3)&gt;0,0,1)))</f>
        <v>1</v>
      </c>
      <c r="C2" s="27">
        <f t="shared" si="0"/>
        <v>0</v>
      </c>
      <c r="D2" s="27">
        <f t="shared" si="0"/>
        <v>0</v>
      </c>
      <c r="E2" s="27">
        <f t="shared" si="0"/>
        <v>1</v>
      </c>
      <c r="F2" s="27">
        <f t="shared" si="0"/>
        <v>1</v>
      </c>
      <c r="G2" s="27">
        <f t="shared" si="0"/>
        <v>1</v>
      </c>
      <c r="H2" s="27">
        <f t="shared" si="0"/>
        <v>1</v>
      </c>
      <c r="I2" s="27">
        <f t="shared" si="0"/>
        <v>1</v>
      </c>
      <c r="J2" s="27">
        <f t="shared" si="0"/>
        <v>0</v>
      </c>
      <c r="K2" s="27">
        <f t="shared" si="0"/>
        <v>0</v>
      </c>
      <c r="L2" s="27">
        <f t="shared" si="0"/>
        <v>1</v>
      </c>
      <c r="M2" s="27">
        <f t="shared" si="0"/>
        <v>1</v>
      </c>
      <c r="N2" s="27">
        <f t="shared" si="0"/>
        <v>1</v>
      </c>
      <c r="O2" s="27">
        <f t="shared" si="0"/>
        <v>1</v>
      </c>
      <c r="P2" s="27">
        <f t="shared" si="0"/>
        <v>1</v>
      </c>
      <c r="Q2" s="27">
        <f t="shared" si="0"/>
        <v>0</v>
      </c>
      <c r="R2" s="27">
        <f t="shared" si="0"/>
        <v>0</v>
      </c>
      <c r="S2" s="27">
        <f t="shared" si="0"/>
        <v>1</v>
      </c>
      <c r="T2" s="27">
        <f t="shared" si="0"/>
        <v>1</v>
      </c>
      <c r="U2" s="27">
        <f t="shared" si="0"/>
        <v>1</v>
      </c>
      <c r="V2" s="27">
        <f t="shared" si="0"/>
        <v>1</v>
      </c>
      <c r="W2" s="27">
        <f t="shared" si="0"/>
        <v>1</v>
      </c>
      <c r="X2" s="27">
        <f t="shared" si="0"/>
        <v>0</v>
      </c>
      <c r="Y2" s="27">
        <f t="shared" si="0"/>
        <v>0</v>
      </c>
      <c r="Z2" s="27">
        <f t="shared" si="0"/>
        <v>1</v>
      </c>
      <c r="AA2" s="27">
        <f t="shared" si="0"/>
        <v>1</v>
      </c>
      <c r="AB2" s="27">
        <f t="shared" si="0"/>
        <v>1</v>
      </c>
      <c r="AC2" s="27">
        <f t="shared" si="0"/>
        <v>1</v>
      </c>
      <c r="AD2" s="27">
        <f t="shared" si="0"/>
        <v>1</v>
      </c>
      <c r="AE2" s="27">
        <f t="shared" si="0"/>
        <v>0</v>
      </c>
      <c r="AF2" s="27">
        <f t="shared" si="0"/>
        <v>0</v>
      </c>
    </row>
    <row r="3" spans="1:36" x14ac:dyDescent="0.25">
      <c r="A3" s="17" t="str">
        <f>"Bundesland: "&amp;Bundesland</f>
        <v>Bundesland: Nordrhein-Westfalen</v>
      </c>
      <c r="B3" s="28">
        <f>IF(MONTH(DATE(Jahr,10,1))=10,DATE(Jahr,10,1),"")</f>
        <v>46661</v>
      </c>
      <c r="C3" s="28">
        <f>IF(MONTH(DATE(Jahr,10,2))=10,DATE(Jahr,10,2),"")</f>
        <v>46662</v>
      </c>
      <c r="D3" s="28">
        <f>IF(MONTH(DATE(Jahr,10,3))=10,DATE(Jahr,10,3),"")</f>
        <v>46663</v>
      </c>
      <c r="E3" s="28">
        <f>IF(MONTH(DATE(Jahr,10,4))=10,DATE(Jahr,10,4),"")</f>
        <v>46664</v>
      </c>
      <c r="F3" s="28">
        <f>IF(MONTH(DATE(Jahr,10,5))=10,DATE(Jahr,10,5),"")</f>
        <v>46665</v>
      </c>
      <c r="G3" s="28">
        <f>IF(MONTH(DATE(Jahr,10,6))=10,DATE(Jahr,10,6),"")</f>
        <v>46666</v>
      </c>
      <c r="H3" s="28">
        <f>IF(MONTH(DATE(Jahr,10,7))=10,DATE(Jahr,10,7),"")</f>
        <v>46667</v>
      </c>
      <c r="I3" s="28">
        <f>IF(MONTH(DATE(Jahr,10,8))=10,DATE(Jahr,10,8),"")</f>
        <v>46668</v>
      </c>
      <c r="J3" s="28">
        <f>IF(MONTH(DATE(Jahr,10,9))=10,DATE(Jahr,10,9),"")</f>
        <v>46669</v>
      </c>
      <c r="K3" s="28">
        <f>IF(MONTH(DATE(Jahr,10,10))=10,DATE(Jahr,10,10),"")</f>
        <v>46670</v>
      </c>
      <c r="L3" s="28">
        <f>IF(MONTH(DATE(Jahr,10,11))=10,DATE(Jahr,10,11),"")</f>
        <v>46671</v>
      </c>
      <c r="M3" s="28">
        <f>IF(MONTH(DATE(Jahr,10,12))=10,DATE(Jahr,10,12),"")</f>
        <v>46672</v>
      </c>
      <c r="N3" s="28">
        <f>IF(MONTH(DATE(Jahr,10,13))=10,DATE(Jahr,10,13),"")</f>
        <v>46673</v>
      </c>
      <c r="O3" s="28">
        <f>IF(MONTH(DATE(Jahr,10,14))=10,DATE(Jahr,10,14),"")</f>
        <v>46674</v>
      </c>
      <c r="P3" s="28">
        <f>IF(MONTH(DATE(Jahr,10,15))=10,DATE(Jahr,10,15),"")</f>
        <v>46675</v>
      </c>
      <c r="Q3" s="28">
        <f>IF(MONTH(DATE(Jahr,10,16))=10,DATE(Jahr,10,16),"")</f>
        <v>46676</v>
      </c>
      <c r="R3" s="28">
        <f>IF(MONTH(DATE(Jahr,10,17))=10,DATE(Jahr,10,17),"")</f>
        <v>46677</v>
      </c>
      <c r="S3" s="28">
        <f>IF(MONTH(DATE(Jahr,10,18))=10,DATE(Jahr,10,18),"")</f>
        <v>46678</v>
      </c>
      <c r="T3" s="28">
        <f>IF(MONTH(DATE(Jahr,10,19))=10,DATE(Jahr,10,19),"")</f>
        <v>46679</v>
      </c>
      <c r="U3" s="28">
        <f>IF(MONTH(DATE(Jahr,10,20))=10,DATE(Jahr,10,20),"")</f>
        <v>46680</v>
      </c>
      <c r="V3" s="28">
        <f>IF(MONTH(DATE(Jahr,10,21))=10,DATE(Jahr,10,21),"")</f>
        <v>46681</v>
      </c>
      <c r="W3" s="28">
        <f>IF(MONTH(DATE(Jahr,10,22))=10,DATE(Jahr,10,22),"")</f>
        <v>46682</v>
      </c>
      <c r="X3" s="28">
        <f>IF(MONTH(DATE(Jahr,10,23))=10,DATE(Jahr,10,23),"")</f>
        <v>46683</v>
      </c>
      <c r="Y3" s="28">
        <f>IF(MONTH(DATE(Jahr,10,24))=10,DATE(Jahr,10,24),"")</f>
        <v>46684</v>
      </c>
      <c r="Z3" s="28">
        <f>IF(MONTH(DATE(Jahr,10,25))=10,DATE(Jahr,10,25),"")</f>
        <v>46685</v>
      </c>
      <c r="AA3" s="28">
        <f>IF(MONTH(DATE(Jahr,10,26))=10,DATE(Jahr,10,26),"")</f>
        <v>46686</v>
      </c>
      <c r="AB3" s="28">
        <f>IF(MONTH(DATE(Jahr,10,27))=10,DATE(Jahr,10,27),"")</f>
        <v>46687</v>
      </c>
      <c r="AC3" s="28">
        <f>IF(MONTH(DATE(Jahr,10,28))=10,DATE(Jahr,10,28),"")</f>
        <v>46688</v>
      </c>
      <c r="AD3" s="28">
        <f>IF(MONTH(DATE(Jahr,10,29))=10,DATE(Jahr,10,29),"")</f>
        <v>46689</v>
      </c>
      <c r="AE3" s="28">
        <f>IF(MONTH(DATE(Jahr,10,30))=10,DATE(Jahr,10,30),"")</f>
        <v>46690</v>
      </c>
      <c r="AF3" s="28">
        <f>IF(MONTH(DATE(Jahr,10,31))=10,DATE(Jahr,10,31),"")</f>
        <v>46691</v>
      </c>
    </row>
    <row r="4" spans="1:36" x14ac:dyDescent="0.25">
      <c r="A4" s="29" t="s">
        <v>38</v>
      </c>
      <c r="B4" s="30">
        <f t="shared" ref="B4:AF4" si="1">B3</f>
        <v>46661</v>
      </c>
      <c r="C4" s="30">
        <f t="shared" si="1"/>
        <v>46662</v>
      </c>
      <c r="D4" s="30">
        <f t="shared" si="1"/>
        <v>46663</v>
      </c>
      <c r="E4" s="30">
        <f t="shared" si="1"/>
        <v>46664</v>
      </c>
      <c r="F4" s="30">
        <f t="shared" si="1"/>
        <v>46665</v>
      </c>
      <c r="G4" s="30">
        <f t="shared" si="1"/>
        <v>46666</v>
      </c>
      <c r="H4" s="30">
        <f t="shared" si="1"/>
        <v>46667</v>
      </c>
      <c r="I4" s="30">
        <f t="shared" si="1"/>
        <v>46668</v>
      </c>
      <c r="J4" s="30">
        <f t="shared" si="1"/>
        <v>46669</v>
      </c>
      <c r="K4" s="30">
        <f t="shared" si="1"/>
        <v>46670</v>
      </c>
      <c r="L4" s="30">
        <f t="shared" si="1"/>
        <v>46671</v>
      </c>
      <c r="M4" s="30">
        <f t="shared" si="1"/>
        <v>46672</v>
      </c>
      <c r="N4" s="30">
        <f t="shared" si="1"/>
        <v>46673</v>
      </c>
      <c r="O4" s="30">
        <f t="shared" si="1"/>
        <v>46674</v>
      </c>
      <c r="P4" s="30">
        <f t="shared" si="1"/>
        <v>46675</v>
      </c>
      <c r="Q4" s="30">
        <f t="shared" si="1"/>
        <v>46676</v>
      </c>
      <c r="R4" s="30">
        <f t="shared" si="1"/>
        <v>46677</v>
      </c>
      <c r="S4" s="30">
        <f t="shared" si="1"/>
        <v>46678</v>
      </c>
      <c r="T4" s="30">
        <f t="shared" si="1"/>
        <v>46679</v>
      </c>
      <c r="U4" s="30">
        <f t="shared" si="1"/>
        <v>46680</v>
      </c>
      <c r="V4" s="30">
        <f t="shared" si="1"/>
        <v>46681</v>
      </c>
      <c r="W4" s="30">
        <f t="shared" si="1"/>
        <v>46682</v>
      </c>
      <c r="X4" s="30">
        <f t="shared" si="1"/>
        <v>46683</v>
      </c>
      <c r="Y4" s="30">
        <f t="shared" si="1"/>
        <v>46684</v>
      </c>
      <c r="Z4" s="30">
        <f t="shared" si="1"/>
        <v>46685</v>
      </c>
      <c r="AA4" s="30">
        <f t="shared" si="1"/>
        <v>46686</v>
      </c>
      <c r="AB4" s="30">
        <f t="shared" si="1"/>
        <v>46687</v>
      </c>
      <c r="AC4" s="30">
        <f t="shared" si="1"/>
        <v>46688</v>
      </c>
      <c r="AD4" s="30">
        <f t="shared" si="1"/>
        <v>46689</v>
      </c>
      <c r="AE4" s="30">
        <f t="shared" si="1"/>
        <v>46690</v>
      </c>
      <c r="AF4" s="30">
        <f t="shared" si="1"/>
        <v>46691</v>
      </c>
      <c r="AH4" s="31" t="s">
        <v>56</v>
      </c>
      <c r="AI4" s="31" t="s">
        <v>57</v>
      </c>
      <c r="AJ4" s="31" t="s">
        <v>58</v>
      </c>
    </row>
    <row r="5" spans="1:36" x14ac:dyDescent="0.25">
      <c r="A5" s="32" t="str">
        <f>IF(Mitarbeitende!A5="","",Mitarbeitende!A5)</f>
        <v>Beispiel: Anna Muster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H5" s="34">
        <f t="shared" ref="AH5:AH34" si="2">SUMPRODUCT((B5:AF5="U")*$B$2:$AF$2)+0.5*SUMPRODUCT((B5:AF5="H")*$B$2:$AF$2)</f>
        <v>0</v>
      </c>
      <c r="AI5" s="35">
        <f t="shared" ref="AI5:AI34" si="3">SUMPRODUCT((B5:AF5="K")*$B$2:$AF$2)</f>
        <v>0</v>
      </c>
      <c r="AJ5" s="35">
        <f t="shared" ref="AJ5:AJ34" si="4">SUMPRODUCT((B5:AF5="S")*$B$2:$AF$2)</f>
        <v>0</v>
      </c>
    </row>
    <row r="6" spans="1:36" x14ac:dyDescent="0.25">
      <c r="A6" s="32" t="str">
        <f>IF(Mitarbeitende!A6="","",Mitarbeitende!A6)</f>
        <v>Beispiel: Ben Beispiel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H6" s="34">
        <f t="shared" si="2"/>
        <v>0</v>
      </c>
      <c r="AI6" s="35">
        <f t="shared" si="3"/>
        <v>0</v>
      </c>
      <c r="AJ6" s="35">
        <f t="shared" si="4"/>
        <v>0</v>
      </c>
    </row>
    <row r="7" spans="1:36" x14ac:dyDescent="0.25">
      <c r="A7" s="32" t="str">
        <f>IF(Mitarbeitende!A7="","",Mitarbeitende!A7)</f>
        <v/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H7" s="34">
        <f t="shared" si="2"/>
        <v>0</v>
      </c>
      <c r="AI7" s="35">
        <f t="shared" si="3"/>
        <v>0</v>
      </c>
      <c r="AJ7" s="35">
        <f t="shared" si="4"/>
        <v>0</v>
      </c>
    </row>
    <row r="8" spans="1:36" x14ac:dyDescent="0.25">
      <c r="A8" s="32" t="str">
        <f>IF(Mitarbeitende!A8="","",Mitarbeitende!A8)</f>
        <v/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H8" s="34">
        <f t="shared" si="2"/>
        <v>0</v>
      </c>
      <c r="AI8" s="35">
        <f t="shared" si="3"/>
        <v>0</v>
      </c>
      <c r="AJ8" s="35">
        <f t="shared" si="4"/>
        <v>0</v>
      </c>
    </row>
    <row r="9" spans="1:36" x14ac:dyDescent="0.25">
      <c r="A9" s="32" t="str">
        <f>IF(Mitarbeitende!A9="","",Mitarbeitende!A9)</f>
        <v/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H9" s="34">
        <f t="shared" si="2"/>
        <v>0</v>
      </c>
      <c r="AI9" s="35">
        <f t="shared" si="3"/>
        <v>0</v>
      </c>
      <c r="AJ9" s="35">
        <f t="shared" si="4"/>
        <v>0</v>
      </c>
    </row>
    <row r="10" spans="1:36" x14ac:dyDescent="0.25">
      <c r="A10" s="32" t="str">
        <f>IF(Mitarbeitende!A10="","",Mitarbeitende!A10)</f>
        <v/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H10" s="34">
        <f t="shared" si="2"/>
        <v>0</v>
      </c>
      <c r="AI10" s="35">
        <f t="shared" si="3"/>
        <v>0</v>
      </c>
      <c r="AJ10" s="35">
        <f t="shared" si="4"/>
        <v>0</v>
      </c>
    </row>
    <row r="11" spans="1:36" x14ac:dyDescent="0.25">
      <c r="A11" s="32" t="str">
        <f>IF(Mitarbeitende!A11="","",Mitarbeitende!A11)</f>
        <v/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H11" s="34">
        <f t="shared" si="2"/>
        <v>0</v>
      </c>
      <c r="AI11" s="35">
        <f t="shared" si="3"/>
        <v>0</v>
      </c>
      <c r="AJ11" s="35">
        <f t="shared" si="4"/>
        <v>0</v>
      </c>
    </row>
    <row r="12" spans="1:36" x14ac:dyDescent="0.25">
      <c r="A12" s="32" t="str">
        <f>IF(Mitarbeitende!A12="","",Mitarbeitende!A12)</f>
        <v/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H12" s="34">
        <f t="shared" si="2"/>
        <v>0</v>
      </c>
      <c r="AI12" s="35">
        <f t="shared" si="3"/>
        <v>0</v>
      </c>
      <c r="AJ12" s="35">
        <f t="shared" si="4"/>
        <v>0</v>
      </c>
    </row>
    <row r="13" spans="1:36" x14ac:dyDescent="0.25">
      <c r="A13" s="32" t="str">
        <f>IF(Mitarbeitende!A13="","",Mitarbeitende!A13)</f>
        <v/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H13" s="34">
        <f t="shared" si="2"/>
        <v>0</v>
      </c>
      <c r="AI13" s="35">
        <f t="shared" si="3"/>
        <v>0</v>
      </c>
      <c r="AJ13" s="35">
        <f t="shared" si="4"/>
        <v>0</v>
      </c>
    </row>
    <row r="14" spans="1:36" x14ac:dyDescent="0.25">
      <c r="A14" s="32" t="str">
        <f>IF(Mitarbeitende!A14="","",Mitarbeitende!A14)</f>
        <v/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H14" s="34">
        <f t="shared" si="2"/>
        <v>0</v>
      </c>
      <c r="AI14" s="35">
        <f t="shared" si="3"/>
        <v>0</v>
      </c>
      <c r="AJ14" s="35">
        <f t="shared" si="4"/>
        <v>0</v>
      </c>
    </row>
    <row r="15" spans="1:36" x14ac:dyDescent="0.25">
      <c r="A15" s="32" t="str">
        <f>IF(Mitarbeitende!A15="","",Mitarbeitende!A15)</f>
        <v/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H15" s="34">
        <f t="shared" si="2"/>
        <v>0</v>
      </c>
      <c r="AI15" s="35">
        <f t="shared" si="3"/>
        <v>0</v>
      </c>
      <c r="AJ15" s="35">
        <f t="shared" si="4"/>
        <v>0</v>
      </c>
    </row>
    <row r="16" spans="1:36" x14ac:dyDescent="0.25">
      <c r="A16" s="32" t="str">
        <f>IF(Mitarbeitende!A16="","",Mitarbeitende!A16)</f>
        <v/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H16" s="34">
        <f t="shared" si="2"/>
        <v>0</v>
      </c>
      <c r="AI16" s="35">
        <f t="shared" si="3"/>
        <v>0</v>
      </c>
      <c r="AJ16" s="35">
        <f t="shared" si="4"/>
        <v>0</v>
      </c>
    </row>
    <row r="17" spans="1:36" x14ac:dyDescent="0.25">
      <c r="A17" s="32" t="str">
        <f>IF(Mitarbeitende!A17="","",Mitarbeitende!A17)</f>
        <v/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H17" s="34">
        <f t="shared" si="2"/>
        <v>0</v>
      </c>
      <c r="AI17" s="35">
        <f t="shared" si="3"/>
        <v>0</v>
      </c>
      <c r="AJ17" s="35">
        <f t="shared" si="4"/>
        <v>0</v>
      </c>
    </row>
    <row r="18" spans="1:36" x14ac:dyDescent="0.25">
      <c r="A18" s="32" t="str">
        <f>IF(Mitarbeitende!A18="","",Mitarbeitende!A18)</f>
        <v/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H18" s="34">
        <f t="shared" si="2"/>
        <v>0</v>
      </c>
      <c r="AI18" s="35">
        <f t="shared" si="3"/>
        <v>0</v>
      </c>
      <c r="AJ18" s="35">
        <f t="shared" si="4"/>
        <v>0</v>
      </c>
    </row>
    <row r="19" spans="1:36" x14ac:dyDescent="0.25">
      <c r="A19" s="32" t="str">
        <f>IF(Mitarbeitende!A19="","",Mitarbeitende!A19)</f>
        <v/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H19" s="34">
        <f t="shared" si="2"/>
        <v>0</v>
      </c>
      <c r="AI19" s="35">
        <f t="shared" si="3"/>
        <v>0</v>
      </c>
      <c r="AJ19" s="35">
        <f t="shared" si="4"/>
        <v>0</v>
      </c>
    </row>
    <row r="20" spans="1:36" x14ac:dyDescent="0.25">
      <c r="A20" s="32" t="str">
        <f>IF(Mitarbeitende!A20="","",Mitarbeitende!A20)</f>
        <v/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H20" s="34">
        <f t="shared" si="2"/>
        <v>0</v>
      </c>
      <c r="AI20" s="35">
        <f t="shared" si="3"/>
        <v>0</v>
      </c>
      <c r="AJ20" s="35">
        <f t="shared" si="4"/>
        <v>0</v>
      </c>
    </row>
    <row r="21" spans="1:36" x14ac:dyDescent="0.25">
      <c r="A21" s="32" t="str">
        <f>IF(Mitarbeitende!A21="","",Mitarbeitende!A21)</f>
        <v/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H21" s="34">
        <f t="shared" si="2"/>
        <v>0</v>
      </c>
      <c r="AI21" s="35">
        <f t="shared" si="3"/>
        <v>0</v>
      </c>
      <c r="AJ21" s="35">
        <f t="shared" si="4"/>
        <v>0</v>
      </c>
    </row>
    <row r="22" spans="1:36" x14ac:dyDescent="0.25">
      <c r="A22" s="32" t="str">
        <f>IF(Mitarbeitende!A22="","",Mitarbeitende!A22)</f>
        <v/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H22" s="34">
        <f t="shared" si="2"/>
        <v>0</v>
      </c>
      <c r="AI22" s="35">
        <f t="shared" si="3"/>
        <v>0</v>
      </c>
      <c r="AJ22" s="35">
        <f t="shared" si="4"/>
        <v>0</v>
      </c>
    </row>
    <row r="23" spans="1:36" x14ac:dyDescent="0.25">
      <c r="A23" s="32" t="str">
        <f>IF(Mitarbeitende!A23="","",Mitarbeitende!A23)</f>
        <v/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H23" s="34">
        <f t="shared" si="2"/>
        <v>0</v>
      </c>
      <c r="AI23" s="35">
        <f t="shared" si="3"/>
        <v>0</v>
      </c>
      <c r="AJ23" s="35">
        <f t="shared" si="4"/>
        <v>0</v>
      </c>
    </row>
    <row r="24" spans="1:36" x14ac:dyDescent="0.25">
      <c r="A24" s="32" t="str">
        <f>IF(Mitarbeitende!A24="","",Mitarbeitende!A24)</f>
        <v/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H24" s="34">
        <f t="shared" si="2"/>
        <v>0</v>
      </c>
      <c r="AI24" s="35">
        <f t="shared" si="3"/>
        <v>0</v>
      </c>
      <c r="AJ24" s="35">
        <f t="shared" si="4"/>
        <v>0</v>
      </c>
    </row>
    <row r="25" spans="1:36" x14ac:dyDescent="0.25">
      <c r="A25" s="32" t="str">
        <f>IF(Mitarbeitende!A25="","",Mitarbeitende!A25)</f>
        <v/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H25" s="34">
        <f t="shared" si="2"/>
        <v>0</v>
      </c>
      <c r="AI25" s="35">
        <f t="shared" si="3"/>
        <v>0</v>
      </c>
      <c r="AJ25" s="35">
        <f t="shared" si="4"/>
        <v>0</v>
      </c>
    </row>
    <row r="26" spans="1:36" x14ac:dyDescent="0.25">
      <c r="A26" s="32" t="str">
        <f>IF(Mitarbeitende!A26="","",Mitarbeitende!A26)</f>
        <v/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H26" s="34">
        <f t="shared" si="2"/>
        <v>0</v>
      </c>
      <c r="AI26" s="35">
        <f t="shared" si="3"/>
        <v>0</v>
      </c>
      <c r="AJ26" s="35">
        <f t="shared" si="4"/>
        <v>0</v>
      </c>
    </row>
    <row r="27" spans="1:36" x14ac:dyDescent="0.25">
      <c r="A27" s="32" t="str">
        <f>IF(Mitarbeitende!A27="","",Mitarbeitende!A27)</f>
        <v/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H27" s="34">
        <f t="shared" si="2"/>
        <v>0</v>
      </c>
      <c r="AI27" s="35">
        <f t="shared" si="3"/>
        <v>0</v>
      </c>
      <c r="AJ27" s="35">
        <f t="shared" si="4"/>
        <v>0</v>
      </c>
    </row>
    <row r="28" spans="1:36" x14ac:dyDescent="0.25">
      <c r="A28" s="32" t="str">
        <f>IF(Mitarbeitende!A28="","",Mitarbeitende!A28)</f>
        <v/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H28" s="34">
        <f t="shared" si="2"/>
        <v>0</v>
      </c>
      <c r="AI28" s="35">
        <f t="shared" si="3"/>
        <v>0</v>
      </c>
      <c r="AJ28" s="35">
        <f t="shared" si="4"/>
        <v>0</v>
      </c>
    </row>
    <row r="29" spans="1:36" x14ac:dyDescent="0.25">
      <c r="A29" s="32" t="str">
        <f>IF(Mitarbeitende!A29="","",Mitarbeitende!A29)</f>
        <v/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H29" s="34">
        <f t="shared" si="2"/>
        <v>0</v>
      </c>
      <c r="AI29" s="35">
        <f t="shared" si="3"/>
        <v>0</v>
      </c>
      <c r="AJ29" s="35">
        <f t="shared" si="4"/>
        <v>0</v>
      </c>
    </row>
    <row r="30" spans="1:36" x14ac:dyDescent="0.25">
      <c r="A30" s="32" t="str">
        <f>IF(Mitarbeitende!A30="","",Mitarbeitende!A30)</f>
        <v/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H30" s="34">
        <f t="shared" si="2"/>
        <v>0</v>
      </c>
      <c r="AI30" s="35">
        <f t="shared" si="3"/>
        <v>0</v>
      </c>
      <c r="AJ30" s="35">
        <f t="shared" si="4"/>
        <v>0</v>
      </c>
    </row>
    <row r="31" spans="1:36" x14ac:dyDescent="0.25">
      <c r="A31" s="32" t="str">
        <f>IF(Mitarbeitende!A31="","",Mitarbeitende!A31)</f>
        <v/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H31" s="34">
        <f t="shared" si="2"/>
        <v>0</v>
      </c>
      <c r="AI31" s="35">
        <f t="shared" si="3"/>
        <v>0</v>
      </c>
      <c r="AJ31" s="35">
        <f t="shared" si="4"/>
        <v>0</v>
      </c>
    </row>
    <row r="32" spans="1:36" x14ac:dyDescent="0.25">
      <c r="A32" s="32" t="str">
        <f>IF(Mitarbeitende!A32="","",Mitarbeitende!A32)</f>
        <v/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H32" s="34">
        <f t="shared" si="2"/>
        <v>0</v>
      </c>
      <c r="AI32" s="35">
        <f t="shared" si="3"/>
        <v>0</v>
      </c>
      <c r="AJ32" s="35">
        <f t="shared" si="4"/>
        <v>0</v>
      </c>
    </row>
    <row r="33" spans="1:36" x14ac:dyDescent="0.25">
      <c r="A33" s="32" t="str">
        <f>IF(Mitarbeitende!A33="","",Mitarbeitende!A33)</f>
        <v/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H33" s="34">
        <f t="shared" si="2"/>
        <v>0</v>
      </c>
      <c r="AI33" s="35">
        <f t="shared" si="3"/>
        <v>0</v>
      </c>
      <c r="AJ33" s="35">
        <f t="shared" si="4"/>
        <v>0</v>
      </c>
    </row>
    <row r="34" spans="1:36" x14ac:dyDescent="0.25">
      <c r="A34" s="32" t="str">
        <f>IF(Mitarbeitende!A34="","",Mitarbeitende!A34)</f>
        <v/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H34" s="34">
        <f t="shared" si="2"/>
        <v>0</v>
      </c>
      <c r="AI34" s="35">
        <f t="shared" si="3"/>
        <v>0</v>
      </c>
      <c r="AJ34" s="35">
        <f t="shared" si="4"/>
        <v>0</v>
      </c>
    </row>
    <row r="36" spans="1:36" x14ac:dyDescent="0.25">
      <c r="A36" s="17" t="str">
        <f>"Arbeitstage im Monat: "&amp;SUM(B2:AF2)</f>
        <v>Arbeitstage im Monat: 21</v>
      </c>
    </row>
    <row r="37" spans="1:36" x14ac:dyDescent="0.25">
      <c r="A37" s="17" t="s">
        <v>59</v>
      </c>
    </row>
  </sheetData>
  <conditionalFormatting sqref="B3:AF34">
    <cfRule type="expression" dxfId="27" priority="7">
      <formula>B$3=""</formula>
    </cfRule>
    <cfRule type="expression" dxfId="26" priority="8">
      <formula>AND(B$3&lt;&gt;"",COUNTIF(Feiertage_aktiv,B$3)&gt;0)</formula>
    </cfRule>
    <cfRule type="expression" dxfId="25" priority="9">
      <formula>AND(B$3&lt;&gt;"",WEEKDAY(B$3,2)&gt;5)</formula>
    </cfRule>
  </conditionalFormatting>
  <conditionalFormatting sqref="B5:AF34">
    <cfRule type="expression" dxfId="24" priority="1" stopIfTrue="1">
      <formula>UPPER(B5)="U"</formula>
    </cfRule>
    <cfRule type="expression" dxfId="23" priority="2" stopIfTrue="1">
      <formula>UPPER(B5)="H"</formula>
    </cfRule>
    <cfRule type="expression" dxfId="22" priority="3" stopIfTrue="1">
      <formula>UPPER(B5)="K"</formula>
    </cfRule>
    <cfRule type="expression" dxfId="21" priority="4" stopIfTrue="1">
      <formula>UPPER(B5)="S"</formula>
    </cfRule>
    <cfRule type="expression" dxfId="20" priority="5" stopIfTrue="1">
      <formula>UPPER(B5)="Z"</formula>
    </cfRule>
    <cfRule type="expression" dxfId="19" priority="6" stopIfTrue="1">
      <formula>UPPER(B5)="F"</formula>
    </cfRule>
  </conditionalFormatting>
  <dataValidations count="1">
    <dataValidation type="list" allowBlank="1" showErrorMessage="1" errorTitle="Kürzel" error="Bitte U, H, K, S, Z oder F eintragen." sqref="B5:AF34" xr:uid="{00000000-0002-0000-0B00-000000000000}">
      <formula1>"U,H,K,S,Z,F"</formula1>
    </dataValidation>
  </dataValidations>
  <pageMargins left="0.75" right="0.75" top="1" bottom="1" header="0.5" footer="0.5"/>
  <pageSetup fitToHeight="0" orientation="landscape"/>
  <headerFooter>
    <oddFooter>&amp;C&amp;8 &amp;K686E70Vorlage von seminaron.de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J37"/>
  <sheetViews>
    <sheetView showGridLines="0" zoomScale="9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4" customWidth="1"/>
    <col min="2" max="32" width="4.140625" customWidth="1"/>
    <col min="33" max="33" width="1.42578125" customWidth="1"/>
    <col min="34" max="36" width="8.42578125" customWidth="1"/>
  </cols>
  <sheetData>
    <row r="1" spans="1:36" ht="23.25" x14ac:dyDescent="0.35">
      <c r="A1" s="18" t="str">
        <f>"November "&amp;Jahr&amp;IF(Firma="",""," · "&amp;Firma)</f>
        <v>November 2027</v>
      </c>
    </row>
    <row r="2" spans="1:36" hidden="1" x14ac:dyDescent="0.25">
      <c r="A2" s="26" t="s">
        <v>55</v>
      </c>
      <c r="B2" s="27">
        <f t="shared" ref="B2:AF2" si="0">IF(B3="",0,IF(WEEKDAY(B3,2)&gt;5,0,IF(COUNTIF(Feiertage_aktiv,B3)&gt;0,0,1)))</f>
        <v>0</v>
      </c>
      <c r="C2" s="27">
        <f t="shared" si="0"/>
        <v>1</v>
      </c>
      <c r="D2" s="27">
        <f t="shared" si="0"/>
        <v>1</v>
      </c>
      <c r="E2" s="27">
        <f t="shared" si="0"/>
        <v>1</v>
      </c>
      <c r="F2" s="27">
        <f t="shared" si="0"/>
        <v>1</v>
      </c>
      <c r="G2" s="27">
        <f t="shared" si="0"/>
        <v>0</v>
      </c>
      <c r="H2" s="27">
        <f t="shared" si="0"/>
        <v>0</v>
      </c>
      <c r="I2" s="27">
        <f t="shared" si="0"/>
        <v>1</v>
      </c>
      <c r="J2" s="27">
        <f t="shared" si="0"/>
        <v>1</v>
      </c>
      <c r="K2" s="27">
        <f t="shared" si="0"/>
        <v>1</v>
      </c>
      <c r="L2" s="27">
        <f t="shared" si="0"/>
        <v>1</v>
      </c>
      <c r="M2" s="27">
        <f t="shared" si="0"/>
        <v>1</v>
      </c>
      <c r="N2" s="27">
        <f t="shared" si="0"/>
        <v>0</v>
      </c>
      <c r="O2" s="27">
        <f t="shared" si="0"/>
        <v>0</v>
      </c>
      <c r="P2" s="27">
        <f t="shared" si="0"/>
        <v>1</v>
      </c>
      <c r="Q2" s="27">
        <f t="shared" si="0"/>
        <v>1</v>
      </c>
      <c r="R2" s="27">
        <f t="shared" si="0"/>
        <v>1</v>
      </c>
      <c r="S2" s="27">
        <f t="shared" si="0"/>
        <v>1</v>
      </c>
      <c r="T2" s="27">
        <f t="shared" si="0"/>
        <v>1</v>
      </c>
      <c r="U2" s="27">
        <f t="shared" si="0"/>
        <v>0</v>
      </c>
      <c r="V2" s="27">
        <f t="shared" si="0"/>
        <v>0</v>
      </c>
      <c r="W2" s="27">
        <f t="shared" si="0"/>
        <v>1</v>
      </c>
      <c r="X2" s="27">
        <f t="shared" si="0"/>
        <v>1</v>
      </c>
      <c r="Y2" s="27">
        <f t="shared" si="0"/>
        <v>1</v>
      </c>
      <c r="Z2" s="27">
        <f t="shared" si="0"/>
        <v>1</v>
      </c>
      <c r="AA2" s="27">
        <f t="shared" si="0"/>
        <v>1</v>
      </c>
      <c r="AB2" s="27">
        <f t="shared" si="0"/>
        <v>0</v>
      </c>
      <c r="AC2" s="27">
        <f t="shared" si="0"/>
        <v>0</v>
      </c>
      <c r="AD2" s="27">
        <f t="shared" si="0"/>
        <v>1</v>
      </c>
      <c r="AE2" s="27">
        <f t="shared" si="0"/>
        <v>1</v>
      </c>
      <c r="AF2" s="27">
        <f t="shared" si="0"/>
        <v>0</v>
      </c>
    </row>
    <row r="3" spans="1:36" x14ac:dyDescent="0.25">
      <c r="A3" s="17" t="str">
        <f>"Bundesland: "&amp;Bundesland</f>
        <v>Bundesland: Nordrhein-Westfalen</v>
      </c>
      <c r="B3" s="28">
        <f>IF(MONTH(DATE(Jahr,11,1))=11,DATE(Jahr,11,1),"")</f>
        <v>46692</v>
      </c>
      <c r="C3" s="28">
        <f>IF(MONTH(DATE(Jahr,11,2))=11,DATE(Jahr,11,2),"")</f>
        <v>46693</v>
      </c>
      <c r="D3" s="28">
        <f>IF(MONTH(DATE(Jahr,11,3))=11,DATE(Jahr,11,3),"")</f>
        <v>46694</v>
      </c>
      <c r="E3" s="28">
        <f>IF(MONTH(DATE(Jahr,11,4))=11,DATE(Jahr,11,4),"")</f>
        <v>46695</v>
      </c>
      <c r="F3" s="28">
        <f>IF(MONTH(DATE(Jahr,11,5))=11,DATE(Jahr,11,5),"")</f>
        <v>46696</v>
      </c>
      <c r="G3" s="28">
        <f>IF(MONTH(DATE(Jahr,11,6))=11,DATE(Jahr,11,6),"")</f>
        <v>46697</v>
      </c>
      <c r="H3" s="28">
        <f>IF(MONTH(DATE(Jahr,11,7))=11,DATE(Jahr,11,7),"")</f>
        <v>46698</v>
      </c>
      <c r="I3" s="28">
        <f>IF(MONTH(DATE(Jahr,11,8))=11,DATE(Jahr,11,8),"")</f>
        <v>46699</v>
      </c>
      <c r="J3" s="28">
        <f>IF(MONTH(DATE(Jahr,11,9))=11,DATE(Jahr,11,9),"")</f>
        <v>46700</v>
      </c>
      <c r="K3" s="28">
        <f>IF(MONTH(DATE(Jahr,11,10))=11,DATE(Jahr,11,10),"")</f>
        <v>46701</v>
      </c>
      <c r="L3" s="28">
        <f>IF(MONTH(DATE(Jahr,11,11))=11,DATE(Jahr,11,11),"")</f>
        <v>46702</v>
      </c>
      <c r="M3" s="28">
        <f>IF(MONTH(DATE(Jahr,11,12))=11,DATE(Jahr,11,12),"")</f>
        <v>46703</v>
      </c>
      <c r="N3" s="28">
        <f>IF(MONTH(DATE(Jahr,11,13))=11,DATE(Jahr,11,13),"")</f>
        <v>46704</v>
      </c>
      <c r="O3" s="28">
        <f>IF(MONTH(DATE(Jahr,11,14))=11,DATE(Jahr,11,14),"")</f>
        <v>46705</v>
      </c>
      <c r="P3" s="28">
        <f>IF(MONTH(DATE(Jahr,11,15))=11,DATE(Jahr,11,15),"")</f>
        <v>46706</v>
      </c>
      <c r="Q3" s="28">
        <f>IF(MONTH(DATE(Jahr,11,16))=11,DATE(Jahr,11,16),"")</f>
        <v>46707</v>
      </c>
      <c r="R3" s="28">
        <f>IF(MONTH(DATE(Jahr,11,17))=11,DATE(Jahr,11,17),"")</f>
        <v>46708</v>
      </c>
      <c r="S3" s="28">
        <f>IF(MONTH(DATE(Jahr,11,18))=11,DATE(Jahr,11,18),"")</f>
        <v>46709</v>
      </c>
      <c r="T3" s="28">
        <f>IF(MONTH(DATE(Jahr,11,19))=11,DATE(Jahr,11,19),"")</f>
        <v>46710</v>
      </c>
      <c r="U3" s="28">
        <f>IF(MONTH(DATE(Jahr,11,20))=11,DATE(Jahr,11,20),"")</f>
        <v>46711</v>
      </c>
      <c r="V3" s="28">
        <f>IF(MONTH(DATE(Jahr,11,21))=11,DATE(Jahr,11,21),"")</f>
        <v>46712</v>
      </c>
      <c r="W3" s="28">
        <f>IF(MONTH(DATE(Jahr,11,22))=11,DATE(Jahr,11,22),"")</f>
        <v>46713</v>
      </c>
      <c r="X3" s="28">
        <f>IF(MONTH(DATE(Jahr,11,23))=11,DATE(Jahr,11,23),"")</f>
        <v>46714</v>
      </c>
      <c r="Y3" s="28">
        <f>IF(MONTH(DATE(Jahr,11,24))=11,DATE(Jahr,11,24),"")</f>
        <v>46715</v>
      </c>
      <c r="Z3" s="28">
        <f>IF(MONTH(DATE(Jahr,11,25))=11,DATE(Jahr,11,25),"")</f>
        <v>46716</v>
      </c>
      <c r="AA3" s="28">
        <f>IF(MONTH(DATE(Jahr,11,26))=11,DATE(Jahr,11,26),"")</f>
        <v>46717</v>
      </c>
      <c r="AB3" s="28">
        <f>IF(MONTH(DATE(Jahr,11,27))=11,DATE(Jahr,11,27),"")</f>
        <v>46718</v>
      </c>
      <c r="AC3" s="28">
        <f>IF(MONTH(DATE(Jahr,11,28))=11,DATE(Jahr,11,28),"")</f>
        <v>46719</v>
      </c>
      <c r="AD3" s="28">
        <f>IF(MONTH(DATE(Jahr,11,29))=11,DATE(Jahr,11,29),"")</f>
        <v>46720</v>
      </c>
      <c r="AE3" s="28">
        <f>IF(MONTH(DATE(Jahr,11,30))=11,DATE(Jahr,11,30),"")</f>
        <v>46721</v>
      </c>
      <c r="AF3" s="28" t="str">
        <f>IF(MONTH(DATE(Jahr,11,31))=11,DATE(Jahr,11,31),"")</f>
        <v/>
      </c>
    </row>
    <row r="4" spans="1:36" x14ac:dyDescent="0.25">
      <c r="A4" s="29" t="s">
        <v>38</v>
      </c>
      <c r="B4" s="30">
        <f t="shared" ref="B4:AF4" si="1">B3</f>
        <v>46692</v>
      </c>
      <c r="C4" s="30">
        <f t="shared" si="1"/>
        <v>46693</v>
      </c>
      <c r="D4" s="30">
        <f t="shared" si="1"/>
        <v>46694</v>
      </c>
      <c r="E4" s="30">
        <f t="shared" si="1"/>
        <v>46695</v>
      </c>
      <c r="F4" s="30">
        <f t="shared" si="1"/>
        <v>46696</v>
      </c>
      <c r="G4" s="30">
        <f t="shared" si="1"/>
        <v>46697</v>
      </c>
      <c r="H4" s="30">
        <f t="shared" si="1"/>
        <v>46698</v>
      </c>
      <c r="I4" s="30">
        <f t="shared" si="1"/>
        <v>46699</v>
      </c>
      <c r="J4" s="30">
        <f t="shared" si="1"/>
        <v>46700</v>
      </c>
      <c r="K4" s="30">
        <f t="shared" si="1"/>
        <v>46701</v>
      </c>
      <c r="L4" s="30">
        <f t="shared" si="1"/>
        <v>46702</v>
      </c>
      <c r="M4" s="30">
        <f t="shared" si="1"/>
        <v>46703</v>
      </c>
      <c r="N4" s="30">
        <f t="shared" si="1"/>
        <v>46704</v>
      </c>
      <c r="O4" s="30">
        <f t="shared" si="1"/>
        <v>46705</v>
      </c>
      <c r="P4" s="30">
        <f t="shared" si="1"/>
        <v>46706</v>
      </c>
      <c r="Q4" s="30">
        <f t="shared" si="1"/>
        <v>46707</v>
      </c>
      <c r="R4" s="30">
        <f t="shared" si="1"/>
        <v>46708</v>
      </c>
      <c r="S4" s="30">
        <f t="shared" si="1"/>
        <v>46709</v>
      </c>
      <c r="T4" s="30">
        <f t="shared" si="1"/>
        <v>46710</v>
      </c>
      <c r="U4" s="30">
        <f t="shared" si="1"/>
        <v>46711</v>
      </c>
      <c r="V4" s="30">
        <f t="shared" si="1"/>
        <v>46712</v>
      </c>
      <c r="W4" s="30">
        <f t="shared" si="1"/>
        <v>46713</v>
      </c>
      <c r="X4" s="30">
        <f t="shared" si="1"/>
        <v>46714</v>
      </c>
      <c r="Y4" s="30">
        <f t="shared" si="1"/>
        <v>46715</v>
      </c>
      <c r="Z4" s="30">
        <f t="shared" si="1"/>
        <v>46716</v>
      </c>
      <c r="AA4" s="30">
        <f t="shared" si="1"/>
        <v>46717</v>
      </c>
      <c r="AB4" s="30">
        <f t="shared" si="1"/>
        <v>46718</v>
      </c>
      <c r="AC4" s="30">
        <f t="shared" si="1"/>
        <v>46719</v>
      </c>
      <c r="AD4" s="30">
        <f t="shared" si="1"/>
        <v>46720</v>
      </c>
      <c r="AE4" s="30">
        <f t="shared" si="1"/>
        <v>46721</v>
      </c>
      <c r="AF4" s="30" t="str">
        <f t="shared" si="1"/>
        <v/>
      </c>
      <c r="AH4" s="31" t="s">
        <v>56</v>
      </c>
      <c r="AI4" s="31" t="s">
        <v>57</v>
      </c>
      <c r="AJ4" s="31" t="s">
        <v>58</v>
      </c>
    </row>
    <row r="5" spans="1:36" x14ac:dyDescent="0.25">
      <c r="A5" s="32" t="str">
        <f>IF(Mitarbeitende!A5="","",Mitarbeitende!A5)</f>
        <v>Beispiel: Anna Muster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H5" s="34">
        <f t="shared" ref="AH5:AH34" si="2">SUMPRODUCT((B5:AF5="U")*$B$2:$AF$2)+0.5*SUMPRODUCT((B5:AF5="H")*$B$2:$AF$2)</f>
        <v>0</v>
      </c>
      <c r="AI5" s="35">
        <f t="shared" ref="AI5:AI34" si="3">SUMPRODUCT((B5:AF5="K")*$B$2:$AF$2)</f>
        <v>0</v>
      </c>
      <c r="AJ5" s="35">
        <f t="shared" ref="AJ5:AJ34" si="4">SUMPRODUCT((B5:AF5="S")*$B$2:$AF$2)</f>
        <v>0</v>
      </c>
    </row>
    <row r="6" spans="1:36" x14ac:dyDescent="0.25">
      <c r="A6" s="32" t="str">
        <f>IF(Mitarbeitende!A6="","",Mitarbeitende!A6)</f>
        <v>Beispiel: Ben Beispiel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H6" s="34">
        <f t="shared" si="2"/>
        <v>0</v>
      </c>
      <c r="AI6" s="35">
        <f t="shared" si="3"/>
        <v>0</v>
      </c>
      <c r="AJ6" s="35">
        <f t="shared" si="4"/>
        <v>0</v>
      </c>
    </row>
    <row r="7" spans="1:36" x14ac:dyDescent="0.25">
      <c r="A7" s="32" t="str">
        <f>IF(Mitarbeitende!A7="","",Mitarbeitende!A7)</f>
        <v/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H7" s="34">
        <f t="shared" si="2"/>
        <v>0</v>
      </c>
      <c r="AI7" s="35">
        <f t="shared" si="3"/>
        <v>0</v>
      </c>
      <c r="AJ7" s="35">
        <f t="shared" si="4"/>
        <v>0</v>
      </c>
    </row>
    <row r="8" spans="1:36" x14ac:dyDescent="0.25">
      <c r="A8" s="32" t="str">
        <f>IF(Mitarbeitende!A8="","",Mitarbeitende!A8)</f>
        <v/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H8" s="34">
        <f t="shared" si="2"/>
        <v>0</v>
      </c>
      <c r="AI8" s="35">
        <f t="shared" si="3"/>
        <v>0</v>
      </c>
      <c r="AJ8" s="35">
        <f t="shared" si="4"/>
        <v>0</v>
      </c>
    </row>
    <row r="9" spans="1:36" x14ac:dyDescent="0.25">
      <c r="A9" s="32" t="str">
        <f>IF(Mitarbeitende!A9="","",Mitarbeitende!A9)</f>
        <v/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H9" s="34">
        <f t="shared" si="2"/>
        <v>0</v>
      </c>
      <c r="AI9" s="35">
        <f t="shared" si="3"/>
        <v>0</v>
      </c>
      <c r="AJ9" s="35">
        <f t="shared" si="4"/>
        <v>0</v>
      </c>
    </row>
    <row r="10" spans="1:36" x14ac:dyDescent="0.25">
      <c r="A10" s="32" t="str">
        <f>IF(Mitarbeitende!A10="","",Mitarbeitende!A10)</f>
        <v/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H10" s="34">
        <f t="shared" si="2"/>
        <v>0</v>
      </c>
      <c r="AI10" s="35">
        <f t="shared" si="3"/>
        <v>0</v>
      </c>
      <c r="AJ10" s="35">
        <f t="shared" si="4"/>
        <v>0</v>
      </c>
    </row>
    <row r="11" spans="1:36" x14ac:dyDescent="0.25">
      <c r="A11" s="32" t="str">
        <f>IF(Mitarbeitende!A11="","",Mitarbeitende!A11)</f>
        <v/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H11" s="34">
        <f t="shared" si="2"/>
        <v>0</v>
      </c>
      <c r="AI11" s="35">
        <f t="shared" si="3"/>
        <v>0</v>
      </c>
      <c r="AJ11" s="35">
        <f t="shared" si="4"/>
        <v>0</v>
      </c>
    </row>
    <row r="12" spans="1:36" x14ac:dyDescent="0.25">
      <c r="A12" s="32" t="str">
        <f>IF(Mitarbeitende!A12="","",Mitarbeitende!A12)</f>
        <v/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H12" s="34">
        <f t="shared" si="2"/>
        <v>0</v>
      </c>
      <c r="AI12" s="35">
        <f t="shared" si="3"/>
        <v>0</v>
      </c>
      <c r="AJ12" s="35">
        <f t="shared" si="4"/>
        <v>0</v>
      </c>
    </row>
    <row r="13" spans="1:36" x14ac:dyDescent="0.25">
      <c r="A13" s="32" t="str">
        <f>IF(Mitarbeitende!A13="","",Mitarbeitende!A13)</f>
        <v/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H13" s="34">
        <f t="shared" si="2"/>
        <v>0</v>
      </c>
      <c r="AI13" s="35">
        <f t="shared" si="3"/>
        <v>0</v>
      </c>
      <c r="AJ13" s="35">
        <f t="shared" si="4"/>
        <v>0</v>
      </c>
    </row>
    <row r="14" spans="1:36" x14ac:dyDescent="0.25">
      <c r="A14" s="32" t="str">
        <f>IF(Mitarbeitende!A14="","",Mitarbeitende!A14)</f>
        <v/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H14" s="34">
        <f t="shared" si="2"/>
        <v>0</v>
      </c>
      <c r="AI14" s="35">
        <f t="shared" si="3"/>
        <v>0</v>
      </c>
      <c r="AJ14" s="35">
        <f t="shared" si="4"/>
        <v>0</v>
      </c>
    </row>
    <row r="15" spans="1:36" x14ac:dyDescent="0.25">
      <c r="A15" s="32" t="str">
        <f>IF(Mitarbeitende!A15="","",Mitarbeitende!A15)</f>
        <v/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H15" s="34">
        <f t="shared" si="2"/>
        <v>0</v>
      </c>
      <c r="AI15" s="35">
        <f t="shared" si="3"/>
        <v>0</v>
      </c>
      <c r="AJ15" s="35">
        <f t="shared" si="4"/>
        <v>0</v>
      </c>
    </row>
    <row r="16" spans="1:36" x14ac:dyDescent="0.25">
      <c r="A16" s="32" t="str">
        <f>IF(Mitarbeitende!A16="","",Mitarbeitende!A16)</f>
        <v/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H16" s="34">
        <f t="shared" si="2"/>
        <v>0</v>
      </c>
      <c r="AI16" s="35">
        <f t="shared" si="3"/>
        <v>0</v>
      </c>
      <c r="AJ16" s="35">
        <f t="shared" si="4"/>
        <v>0</v>
      </c>
    </row>
    <row r="17" spans="1:36" x14ac:dyDescent="0.25">
      <c r="A17" s="32" t="str">
        <f>IF(Mitarbeitende!A17="","",Mitarbeitende!A17)</f>
        <v/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H17" s="34">
        <f t="shared" si="2"/>
        <v>0</v>
      </c>
      <c r="AI17" s="35">
        <f t="shared" si="3"/>
        <v>0</v>
      </c>
      <c r="AJ17" s="35">
        <f t="shared" si="4"/>
        <v>0</v>
      </c>
    </row>
    <row r="18" spans="1:36" x14ac:dyDescent="0.25">
      <c r="A18" s="32" t="str">
        <f>IF(Mitarbeitende!A18="","",Mitarbeitende!A18)</f>
        <v/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H18" s="34">
        <f t="shared" si="2"/>
        <v>0</v>
      </c>
      <c r="AI18" s="35">
        <f t="shared" si="3"/>
        <v>0</v>
      </c>
      <c r="AJ18" s="35">
        <f t="shared" si="4"/>
        <v>0</v>
      </c>
    </row>
    <row r="19" spans="1:36" x14ac:dyDescent="0.25">
      <c r="A19" s="32" t="str">
        <f>IF(Mitarbeitende!A19="","",Mitarbeitende!A19)</f>
        <v/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H19" s="34">
        <f t="shared" si="2"/>
        <v>0</v>
      </c>
      <c r="AI19" s="35">
        <f t="shared" si="3"/>
        <v>0</v>
      </c>
      <c r="AJ19" s="35">
        <f t="shared" si="4"/>
        <v>0</v>
      </c>
    </row>
    <row r="20" spans="1:36" x14ac:dyDescent="0.25">
      <c r="A20" s="32" t="str">
        <f>IF(Mitarbeitende!A20="","",Mitarbeitende!A20)</f>
        <v/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H20" s="34">
        <f t="shared" si="2"/>
        <v>0</v>
      </c>
      <c r="AI20" s="35">
        <f t="shared" si="3"/>
        <v>0</v>
      </c>
      <c r="AJ20" s="35">
        <f t="shared" si="4"/>
        <v>0</v>
      </c>
    </row>
    <row r="21" spans="1:36" x14ac:dyDescent="0.25">
      <c r="A21" s="32" t="str">
        <f>IF(Mitarbeitende!A21="","",Mitarbeitende!A21)</f>
        <v/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H21" s="34">
        <f t="shared" si="2"/>
        <v>0</v>
      </c>
      <c r="AI21" s="35">
        <f t="shared" si="3"/>
        <v>0</v>
      </c>
      <c r="AJ21" s="35">
        <f t="shared" si="4"/>
        <v>0</v>
      </c>
    </row>
    <row r="22" spans="1:36" x14ac:dyDescent="0.25">
      <c r="A22" s="32" t="str">
        <f>IF(Mitarbeitende!A22="","",Mitarbeitende!A22)</f>
        <v/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H22" s="34">
        <f t="shared" si="2"/>
        <v>0</v>
      </c>
      <c r="AI22" s="35">
        <f t="shared" si="3"/>
        <v>0</v>
      </c>
      <c r="AJ22" s="35">
        <f t="shared" si="4"/>
        <v>0</v>
      </c>
    </row>
    <row r="23" spans="1:36" x14ac:dyDescent="0.25">
      <c r="A23" s="32" t="str">
        <f>IF(Mitarbeitende!A23="","",Mitarbeitende!A23)</f>
        <v/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H23" s="34">
        <f t="shared" si="2"/>
        <v>0</v>
      </c>
      <c r="AI23" s="35">
        <f t="shared" si="3"/>
        <v>0</v>
      </c>
      <c r="AJ23" s="35">
        <f t="shared" si="4"/>
        <v>0</v>
      </c>
    </row>
    <row r="24" spans="1:36" x14ac:dyDescent="0.25">
      <c r="A24" s="32" t="str">
        <f>IF(Mitarbeitende!A24="","",Mitarbeitende!A24)</f>
        <v/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H24" s="34">
        <f t="shared" si="2"/>
        <v>0</v>
      </c>
      <c r="AI24" s="35">
        <f t="shared" si="3"/>
        <v>0</v>
      </c>
      <c r="AJ24" s="35">
        <f t="shared" si="4"/>
        <v>0</v>
      </c>
    </row>
    <row r="25" spans="1:36" x14ac:dyDescent="0.25">
      <c r="A25" s="32" t="str">
        <f>IF(Mitarbeitende!A25="","",Mitarbeitende!A25)</f>
        <v/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H25" s="34">
        <f t="shared" si="2"/>
        <v>0</v>
      </c>
      <c r="AI25" s="35">
        <f t="shared" si="3"/>
        <v>0</v>
      </c>
      <c r="AJ25" s="35">
        <f t="shared" si="4"/>
        <v>0</v>
      </c>
    </row>
    <row r="26" spans="1:36" x14ac:dyDescent="0.25">
      <c r="A26" s="32" t="str">
        <f>IF(Mitarbeitende!A26="","",Mitarbeitende!A26)</f>
        <v/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H26" s="34">
        <f t="shared" si="2"/>
        <v>0</v>
      </c>
      <c r="AI26" s="35">
        <f t="shared" si="3"/>
        <v>0</v>
      </c>
      <c r="AJ26" s="35">
        <f t="shared" si="4"/>
        <v>0</v>
      </c>
    </row>
    <row r="27" spans="1:36" x14ac:dyDescent="0.25">
      <c r="A27" s="32" t="str">
        <f>IF(Mitarbeitende!A27="","",Mitarbeitende!A27)</f>
        <v/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H27" s="34">
        <f t="shared" si="2"/>
        <v>0</v>
      </c>
      <c r="AI27" s="35">
        <f t="shared" si="3"/>
        <v>0</v>
      </c>
      <c r="AJ27" s="35">
        <f t="shared" si="4"/>
        <v>0</v>
      </c>
    </row>
    <row r="28" spans="1:36" x14ac:dyDescent="0.25">
      <c r="A28" s="32" t="str">
        <f>IF(Mitarbeitende!A28="","",Mitarbeitende!A28)</f>
        <v/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H28" s="34">
        <f t="shared" si="2"/>
        <v>0</v>
      </c>
      <c r="AI28" s="35">
        <f t="shared" si="3"/>
        <v>0</v>
      </c>
      <c r="AJ28" s="35">
        <f t="shared" si="4"/>
        <v>0</v>
      </c>
    </row>
    <row r="29" spans="1:36" x14ac:dyDescent="0.25">
      <c r="A29" s="32" t="str">
        <f>IF(Mitarbeitende!A29="","",Mitarbeitende!A29)</f>
        <v/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H29" s="34">
        <f t="shared" si="2"/>
        <v>0</v>
      </c>
      <c r="AI29" s="35">
        <f t="shared" si="3"/>
        <v>0</v>
      </c>
      <c r="AJ29" s="35">
        <f t="shared" si="4"/>
        <v>0</v>
      </c>
    </row>
    <row r="30" spans="1:36" x14ac:dyDescent="0.25">
      <c r="A30" s="32" t="str">
        <f>IF(Mitarbeitende!A30="","",Mitarbeitende!A30)</f>
        <v/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H30" s="34">
        <f t="shared" si="2"/>
        <v>0</v>
      </c>
      <c r="AI30" s="35">
        <f t="shared" si="3"/>
        <v>0</v>
      </c>
      <c r="AJ30" s="35">
        <f t="shared" si="4"/>
        <v>0</v>
      </c>
    </row>
    <row r="31" spans="1:36" x14ac:dyDescent="0.25">
      <c r="A31" s="32" t="str">
        <f>IF(Mitarbeitende!A31="","",Mitarbeitende!A31)</f>
        <v/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H31" s="34">
        <f t="shared" si="2"/>
        <v>0</v>
      </c>
      <c r="AI31" s="35">
        <f t="shared" si="3"/>
        <v>0</v>
      </c>
      <c r="AJ31" s="35">
        <f t="shared" si="4"/>
        <v>0</v>
      </c>
    </row>
    <row r="32" spans="1:36" x14ac:dyDescent="0.25">
      <c r="A32" s="32" t="str">
        <f>IF(Mitarbeitende!A32="","",Mitarbeitende!A32)</f>
        <v/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H32" s="34">
        <f t="shared" si="2"/>
        <v>0</v>
      </c>
      <c r="AI32" s="35">
        <f t="shared" si="3"/>
        <v>0</v>
      </c>
      <c r="AJ32" s="35">
        <f t="shared" si="4"/>
        <v>0</v>
      </c>
    </row>
    <row r="33" spans="1:36" x14ac:dyDescent="0.25">
      <c r="A33" s="32" t="str">
        <f>IF(Mitarbeitende!A33="","",Mitarbeitende!A33)</f>
        <v/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H33" s="34">
        <f t="shared" si="2"/>
        <v>0</v>
      </c>
      <c r="AI33" s="35">
        <f t="shared" si="3"/>
        <v>0</v>
      </c>
      <c r="AJ33" s="35">
        <f t="shared" si="4"/>
        <v>0</v>
      </c>
    </row>
    <row r="34" spans="1:36" x14ac:dyDescent="0.25">
      <c r="A34" s="32" t="str">
        <f>IF(Mitarbeitende!A34="","",Mitarbeitende!A34)</f>
        <v/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H34" s="34">
        <f t="shared" si="2"/>
        <v>0</v>
      </c>
      <c r="AI34" s="35">
        <f t="shared" si="3"/>
        <v>0</v>
      </c>
      <c r="AJ34" s="35">
        <f t="shared" si="4"/>
        <v>0</v>
      </c>
    </row>
    <row r="36" spans="1:36" x14ac:dyDescent="0.25">
      <c r="A36" s="17" t="str">
        <f>"Arbeitstage im Monat: "&amp;SUM(B2:AF2)</f>
        <v>Arbeitstage im Monat: 21</v>
      </c>
    </row>
    <row r="37" spans="1:36" x14ac:dyDescent="0.25">
      <c r="A37" s="17" t="s">
        <v>59</v>
      </c>
    </row>
  </sheetData>
  <conditionalFormatting sqref="B3:AF34">
    <cfRule type="expression" dxfId="18" priority="7">
      <formula>B$3=""</formula>
    </cfRule>
    <cfRule type="expression" dxfId="17" priority="8">
      <formula>AND(B$3&lt;&gt;"",COUNTIF(Feiertage_aktiv,B$3)&gt;0)</formula>
    </cfRule>
    <cfRule type="expression" dxfId="16" priority="9">
      <formula>AND(B$3&lt;&gt;"",WEEKDAY(B$3,2)&gt;5)</formula>
    </cfRule>
  </conditionalFormatting>
  <conditionalFormatting sqref="B5:AF34">
    <cfRule type="expression" dxfId="15" priority="1" stopIfTrue="1">
      <formula>UPPER(B5)="U"</formula>
    </cfRule>
    <cfRule type="expression" dxfId="14" priority="2" stopIfTrue="1">
      <formula>UPPER(B5)="H"</formula>
    </cfRule>
    <cfRule type="expression" dxfId="13" priority="3" stopIfTrue="1">
      <formula>UPPER(B5)="K"</formula>
    </cfRule>
    <cfRule type="expression" dxfId="12" priority="4" stopIfTrue="1">
      <formula>UPPER(B5)="S"</formula>
    </cfRule>
    <cfRule type="expression" dxfId="11" priority="5" stopIfTrue="1">
      <formula>UPPER(B5)="Z"</formula>
    </cfRule>
    <cfRule type="expression" dxfId="10" priority="6" stopIfTrue="1">
      <formula>UPPER(B5)="F"</formula>
    </cfRule>
  </conditionalFormatting>
  <dataValidations count="1">
    <dataValidation type="list" allowBlank="1" showErrorMessage="1" errorTitle="Kürzel" error="Bitte U, H, K, S, Z oder F eintragen." sqref="B5:AF34" xr:uid="{00000000-0002-0000-0C00-000000000000}">
      <formula1>"U,H,K,S,Z,F"</formula1>
    </dataValidation>
  </dataValidations>
  <pageMargins left="0.75" right="0.75" top="1" bottom="1" header="0.5" footer="0.5"/>
  <pageSetup fitToHeight="0" orientation="landscape"/>
  <headerFooter>
    <oddFooter>&amp;C&amp;8 &amp;K686E70Vorlage von seminaron.de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J37"/>
  <sheetViews>
    <sheetView showGridLines="0" zoomScale="9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4" customWidth="1"/>
    <col min="2" max="32" width="4.140625" customWidth="1"/>
    <col min="33" max="33" width="1.42578125" customWidth="1"/>
    <col min="34" max="36" width="8.42578125" customWidth="1"/>
  </cols>
  <sheetData>
    <row r="1" spans="1:36" ht="23.25" x14ac:dyDescent="0.35">
      <c r="A1" s="18" t="str">
        <f>"Dezember "&amp;Jahr&amp;IF(Firma="",""," · "&amp;Firma)</f>
        <v>Dezember 2027</v>
      </c>
    </row>
    <row r="2" spans="1:36" hidden="1" x14ac:dyDescent="0.25">
      <c r="A2" s="26" t="s">
        <v>55</v>
      </c>
      <c r="B2" s="27">
        <f t="shared" ref="B2:AF2" si="0">IF(B3="",0,IF(WEEKDAY(B3,2)&gt;5,0,IF(COUNTIF(Feiertage_aktiv,B3)&gt;0,0,1)))</f>
        <v>1</v>
      </c>
      <c r="C2" s="27">
        <f t="shared" si="0"/>
        <v>1</v>
      </c>
      <c r="D2" s="27">
        <f t="shared" si="0"/>
        <v>1</v>
      </c>
      <c r="E2" s="27">
        <f t="shared" si="0"/>
        <v>0</v>
      </c>
      <c r="F2" s="27">
        <f t="shared" si="0"/>
        <v>0</v>
      </c>
      <c r="G2" s="27">
        <f t="shared" si="0"/>
        <v>1</v>
      </c>
      <c r="H2" s="27">
        <f t="shared" si="0"/>
        <v>1</v>
      </c>
      <c r="I2" s="27">
        <f t="shared" si="0"/>
        <v>1</v>
      </c>
      <c r="J2" s="27">
        <f t="shared" si="0"/>
        <v>1</v>
      </c>
      <c r="K2" s="27">
        <f t="shared" si="0"/>
        <v>1</v>
      </c>
      <c r="L2" s="27">
        <f t="shared" si="0"/>
        <v>0</v>
      </c>
      <c r="M2" s="27">
        <f t="shared" si="0"/>
        <v>0</v>
      </c>
      <c r="N2" s="27">
        <f t="shared" si="0"/>
        <v>1</v>
      </c>
      <c r="O2" s="27">
        <f t="shared" si="0"/>
        <v>1</v>
      </c>
      <c r="P2" s="27">
        <f t="shared" si="0"/>
        <v>1</v>
      </c>
      <c r="Q2" s="27">
        <f t="shared" si="0"/>
        <v>1</v>
      </c>
      <c r="R2" s="27">
        <f t="shared" si="0"/>
        <v>1</v>
      </c>
      <c r="S2" s="27">
        <f t="shared" si="0"/>
        <v>0</v>
      </c>
      <c r="T2" s="27">
        <f t="shared" si="0"/>
        <v>0</v>
      </c>
      <c r="U2" s="27">
        <f t="shared" si="0"/>
        <v>1</v>
      </c>
      <c r="V2" s="27">
        <f t="shared" si="0"/>
        <v>1</v>
      </c>
      <c r="W2" s="27">
        <f t="shared" si="0"/>
        <v>1</v>
      </c>
      <c r="X2" s="27">
        <f t="shared" si="0"/>
        <v>1</v>
      </c>
      <c r="Y2" s="27">
        <f t="shared" si="0"/>
        <v>1</v>
      </c>
      <c r="Z2" s="27">
        <f t="shared" si="0"/>
        <v>0</v>
      </c>
      <c r="AA2" s="27">
        <f t="shared" si="0"/>
        <v>0</v>
      </c>
      <c r="AB2" s="27">
        <f t="shared" si="0"/>
        <v>1</v>
      </c>
      <c r="AC2" s="27">
        <f t="shared" si="0"/>
        <v>1</v>
      </c>
      <c r="AD2" s="27">
        <f t="shared" si="0"/>
        <v>1</v>
      </c>
      <c r="AE2" s="27">
        <f t="shared" si="0"/>
        <v>1</v>
      </c>
      <c r="AF2" s="27">
        <f t="shared" si="0"/>
        <v>1</v>
      </c>
    </row>
    <row r="3" spans="1:36" x14ac:dyDescent="0.25">
      <c r="A3" s="17" t="str">
        <f>"Bundesland: "&amp;Bundesland</f>
        <v>Bundesland: Nordrhein-Westfalen</v>
      </c>
      <c r="B3" s="28">
        <f>IF(MONTH(DATE(Jahr,12,1))=12,DATE(Jahr,12,1),"")</f>
        <v>46722</v>
      </c>
      <c r="C3" s="28">
        <f>IF(MONTH(DATE(Jahr,12,2))=12,DATE(Jahr,12,2),"")</f>
        <v>46723</v>
      </c>
      <c r="D3" s="28">
        <f>IF(MONTH(DATE(Jahr,12,3))=12,DATE(Jahr,12,3),"")</f>
        <v>46724</v>
      </c>
      <c r="E3" s="28">
        <f>IF(MONTH(DATE(Jahr,12,4))=12,DATE(Jahr,12,4),"")</f>
        <v>46725</v>
      </c>
      <c r="F3" s="28">
        <f>IF(MONTH(DATE(Jahr,12,5))=12,DATE(Jahr,12,5),"")</f>
        <v>46726</v>
      </c>
      <c r="G3" s="28">
        <f>IF(MONTH(DATE(Jahr,12,6))=12,DATE(Jahr,12,6),"")</f>
        <v>46727</v>
      </c>
      <c r="H3" s="28">
        <f>IF(MONTH(DATE(Jahr,12,7))=12,DATE(Jahr,12,7),"")</f>
        <v>46728</v>
      </c>
      <c r="I3" s="28">
        <f>IF(MONTH(DATE(Jahr,12,8))=12,DATE(Jahr,12,8),"")</f>
        <v>46729</v>
      </c>
      <c r="J3" s="28">
        <f>IF(MONTH(DATE(Jahr,12,9))=12,DATE(Jahr,12,9),"")</f>
        <v>46730</v>
      </c>
      <c r="K3" s="28">
        <f>IF(MONTH(DATE(Jahr,12,10))=12,DATE(Jahr,12,10),"")</f>
        <v>46731</v>
      </c>
      <c r="L3" s="28">
        <f>IF(MONTH(DATE(Jahr,12,11))=12,DATE(Jahr,12,11),"")</f>
        <v>46732</v>
      </c>
      <c r="M3" s="28">
        <f>IF(MONTH(DATE(Jahr,12,12))=12,DATE(Jahr,12,12),"")</f>
        <v>46733</v>
      </c>
      <c r="N3" s="28">
        <f>IF(MONTH(DATE(Jahr,12,13))=12,DATE(Jahr,12,13),"")</f>
        <v>46734</v>
      </c>
      <c r="O3" s="28">
        <f>IF(MONTH(DATE(Jahr,12,14))=12,DATE(Jahr,12,14),"")</f>
        <v>46735</v>
      </c>
      <c r="P3" s="28">
        <f>IF(MONTH(DATE(Jahr,12,15))=12,DATE(Jahr,12,15),"")</f>
        <v>46736</v>
      </c>
      <c r="Q3" s="28">
        <f>IF(MONTH(DATE(Jahr,12,16))=12,DATE(Jahr,12,16),"")</f>
        <v>46737</v>
      </c>
      <c r="R3" s="28">
        <f>IF(MONTH(DATE(Jahr,12,17))=12,DATE(Jahr,12,17),"")</f>
        <v>46738</v>
      </c>
      <c r="S3" s="28">
        <f>IF(MONTH(DATE(Jahr,12,18))=12,DATE(Jahr,12,18),"")</f>
        <v>46739</v>
      </c>
      <c r="T3" s="28">
        <f>IF(MONTH(DATE(Jahr,12,19))=12,DATE(Jahr,12,19),"")</f>
        <v>46740</v>
      </c>
      <c r="U3" s="28">
        <f>IF(MONTH(DATE(Jahr,12,20))=12,DATE(Jahr,12,20),"")</f>
        <v>46741</v>
      </c>
      <c r="V3" s="28">
        <f>IF(MONTH(DATE(Jahr,12,21))=12,DATE(Jahr,12,21),"")</f>
        <v>46742</v>
      </c>
      <c r="W3" s="28">
        <f>IF(MONTH(DATE(Jahr,12,22))=12,DATE(Jahr,12,22),"")</f>
        <v>46743</v>
      </c>
      <c r="X3" s="28">
        <f>IF(MONTH(DATE(Jahr,12,23))=12,DATE(Jahr,12,23),"")</f>
        <v>46744</v>
      </c>
      <c r="Y3" s="28">
        <f>IF(MONTH(DATE(Jahr,12,24))=12,DATE(Jahr,12,24),"")</f>
        <v>46745</v>
      </c>
      <c r="Z3" s="28">
        <f>IF(MONTH(DATE(Jahr,12,25))=12,DATE(Jahr,12,25),"")</f>
        <v>46746</v>
      </c>
      <c r="AA3" s="28">
        <f>IF(MONTH(DATE(Jahr,12,26))=12,DATE(Jahr,12,26),"")</f>
        <v>46747</v>
      </c>
      <c r="AB3" s="28">
        <f>IF(MONTH(DATE(Jahr,12,27))=12,DATE(Jahr,12,27),"")</f>
        <v>46748</v>
      </c>
      <c r="AC3" s="28">
        <f>IF(MONTH(DATE(Jahr,12,28))=12,DATE(Jahr,12,28),"")</f>
        <v>46749</v>
      </c>
      <c r="AD3" s="28">
        <f>IF(MONTH(DATE(Jahr,12,29))=12,DATE(Jahr,12,29),"")</f>
        <v>46750</v>
      </c>
      <c r="AE3" s="28">
        <f>IF(MONTH(DATE(Jahr,12,30))=12,DATE(Jahr,12,30),"")</f>
        <v>46751</v>
      </c>
      <c r="AF3" s="28">
        <f>IF(MONTH(DATE(Jahr,12,31))=12,DATE(Jahr,12,31),"")</f>
        <v>46752</v>
      </c>
    </row>
    <row r="4" spans="1:36" x14ac:dyDescent="0.25">
      <c r="A4" s="29" t="s">
        <v>38</v>
      </c>
      <c r="B4" s="30">
        <f t="shared" ref="B4:AF4" si="1">B3</f>
        <v>46722</v>
      </c>
      <c r="C4" s="30">
        <f t="shared" si="1"/>
        <v>46723</v>
      </c>
      <c r="D4" s="30">
        <f t="shared" si="1"/>
        <v>46724</v>
      </c>
      <c r="E4" s="30">
        <f t="shared" si="1"/>
        <v>46725</v>
      </c>
      <c r="F4" s="30">
        <f t="shared" si="1"/>
        <v>46726</v>
      </c>
      <c r="G4" s="30">
        <f t="shared" si="1"/>
        <v>46727</v>
      </c>
      <c r="H4" s="30">
        <f t="shared" si="1"/>
        <v>46728</v>
      </c>
      <c r="I4" s="30">
        <f t="shared" si="1"/>
        <v>46729</v>
      </c>
      <c r="J4" s="30">
        <f t="shared" si="1"/>
        <v>46730</v>
      </c>
      <c r="K4" s="30">
        <f t="shared" si="1"/>
        <v>46731</v>
      </c>
      <c r="L4" s="30">
        <f t="shared" si="1"/>
        <v>46732</v>
      </c>
      <c r="M4" s="30">
        <f t="shared" si="1"/>
        <v>46733</v>
      </c>
      <c r="N4" s="30">
        <f t="shared" si="1"/>
        <v>46734</v>
      </c>
      <c r="O4" s="30">
        <f t="shared" si="1"/>
        <v>46735</v>
      </c>
      <c r="P4" s="30">
        <f t="shared" si="1"/>
        <v>46736</v>
      </c>
      <c r="Q4" s="30">
        <f t="shared" si="1"/>
        <v>46737</v>
      </c>
      <c r="R4" s="30">
        <f t="shared" si="1"/>
        <v>46738</v>
      </c>
      <c r="S4" s="30">
        <f t="shared" si="1"/>
        <v>46739</v>
      </c>
      <c r="T4" s="30">
        <f t="shared" si="1"/>
        <v>46740</v>
      </c>
      <c r="U4" s="30">
        <f t="shared" si="1"/>
        <v>46741</v>
      </c>
      <c r="V4" s="30">
        <f t="shared" si="1"/>
        <v>46742</v>
      </c>
      <c r="W4" s="30">
        <f t="shared" si="1"/>
        <v>46743</v>
      </c>
      <c r="X4" s="30">
        <f t="shared" si="1"/>
        <v>46744</v>
      </c>
      <c r="Y4" s="30">
        <f t="shared" si="1"/>
        <v>46745</v>
      </c>
      <c r="Z4" s="30">
        <f t="shared" si="1"/>
        <v>46746</v>
      </c>
      <c r="AA4" s="30">
        <f t="shared" si="1"/>
        <v>46747</v>
      </c>
      <c r="AB4" s="30">
        <f t="shared" si="1"/>
        <v>46748</v>
      </c>
      <c r="AC4" s="30">
        <f t="shared" si="1"/>
        <v>46749</v>
      </c>
      <c r="AD4" s="30">
        <f t="shared" si="1"/>
        <v>46750</v>
      </c>
      <c r="AE4" s="30">
        <f t="shared" si="1"/>
        <v>46751</v>
      </c>
      <c r="AF4" s="30">
        <f t="shared" si="1"/>
        <v>46752</v>
      </c>
      <c r="AH4" s="31" t="s">
        <v>56</v>
      </c>
      <c r="AI4" s="31" t="s">
        <v>57</v>
      </c>
      <c r="AJ4" s="31" t="s">
        <v>58</v>
      </c>
    </row>
    <row r="5" spans="1:36" x14ac:dyDescent="0.25">
      <c r="A5" s="32" t="str">
        <f>IF(Mitarbeitende!A5="","",Mitarbeitende!A5)</f>
        <v>Beispiel: Anna Muster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H5" s="34">
        <f t="shared" ref="AH5:AH34" si="2">SUMPRODUCT((B5:AF5="U")*$B$2:$AF$2)+0.5*SUMPRODUCT((B5:AF5="H")*$B$2:$AF$2)</f>
        <v>0</v>
      </c>
      <c r="AI5" s="35">
        <f t="shared" ref="AI5:AI34" si="3">SUMPRODUCT((B5:AF5="K")*$B$2:$AF$2)</f>
        <v>0</v>
      </c>
      <c r="AJ5" s="35">
        <f t="shared" ref="AJ5:AJ34" si="4">SUMPRODUCT((B5:AF5="S")*$B$2:$AF$2)</f>
        <v>0</v>
      </c>
    </row>
    <row r="6" spans="1:36" x14ac:dyDescent="0.25">
      <c r="A6" s="32" t="str">
        <f>IF(Mitarbeitende!A6="","",Mitarbeitende!A6)</f>
        <v>Beispiel: Ben Beispiel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H6" s="34">
        <f t="shared" si="2"/>
        <v>0</v>
      </c>
      <c r="AI6" s="35">
        <f t="shared" si="3"/>
        <v>0</v>
      </c>
      <c r="AJ6" s="35">
        <f t="shared" si="4"/>
        <v>0</v>
      </c>
    </row>
    <row r="7" spans="1:36" x14ac:dyDescent="0.25">
      <c r="A7" s="32" t="str">
        <f>IF(Mitarbeitende!A7="","",Mitarbeitende!A7)</f>
        <v/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H7" s="34">
        <f t="shared" si="2"/>
        <v>0</v>
      </c>
      <c r="AI7" s="35">
        <f t="shared" si="3"/>
        <v>0</v>
      </c>
      <c r="AJ7" s="35">
        <f t="shared" si="4"/>
        <v>0</v>
      </c>
    </row>
    <row r="8" spans="1:36" x14ac:dyDescent="0.25">
      <c r="A8" s="32" t="str">
        <f>IF(Mitarbeitende!A8="","",Mitarbeitende!A8)</f>
        <v/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H8" s="34">
        <f t="shared" si="2"/>
        <v>0</v>
      </c>
      <c r="AI8" s="35">
        <f t="shared" si="3"/>
        <v>0</v>
      </c>
      <c r="AJ8" s="35">
        <f t="shared" si="4"/>
        <v>0</v>
      </c>
    </row>
    <row r="9" spans="1:36" x14ac:dyDescent="0.25">
      <c r="A9" s="32" t="str">
        <f>IF(Mitarbeitende!A9="","",Mitarbeitende!A9)</f>
        <v/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H9" s="34">
        <f t="shared" si="2"/>
        <v>0</v>
      </c>
      <c r="AI9" s="35">
        <f t="shared" si="3"/>
        <v>0</v>
      </c>
      <c r="AJ9" s="35">
        <f t="shared" si="4"/>
        <v>0</v>
      </c>
    </row>
    <row r="10" spans="1:36" x14ac:dyDescent="0.25">
      <c r="A10" s="32" t="str">
        <f>IF(Mitarbeitende!A10="","",Mitarbeitende!A10)</f>
        <v/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H10" s="34">
        <f t="shared" si="2"/>
        <v>0</v>
      </c>
      <c r="AI10" s="35">
        <f t="shared" si="3"/>
        <v>0</v>
      </c>
      <c r="AJ10" s="35">
        <f t="shared" si="4"/>
        <v>0</v>
      </c>
    </row>
    <row r="11" spans="1:36" x14ac:dyDescent="0.25">
      <c r="A11" s="32" t="str">
        <f>IF(Mitarbeitende!A11="","",Mitarbeitende!A11)</f>
        <v/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H11" s="34">
        <f t="shared" si="2"/>
        <v>0</v>
      </c>
      <c r="AI11" s="35">
        <f t="shared" si="3"/>
        <v>0</v>
      </c>
      <c r="AJ11" s="35">
        <f t="shared" si="4"/>
        <v>0</v>
      </c>
    </row>
    <row r="12" spans="1:36" x14ac:dyDescent="0.25">
      <c r="A12" s="32" t="str">
        <f>IF(Mitarbeitende!A12="","",Mitarbeitende!A12)</f>
        <v/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H12" s="34">
        <f t="shared" si="2"/>
        <v>0</v>
      </c>
      <c r="AI12" s="35">
        <f t="shared" si="3"/>
        <v>0</v>
      </c>
      <c r="AJ12" s="35">
        <f t="shared" si="4"/>
        <v>0</v>
      </c>
    </row>
    <row r="13" spans="1:36" x14ac:dyDescent="0.25">
      <c r="A13" s="32" t="str">
        <f>IF(Mitarbeitende!A13="","",Mitarbeitende!A13)</f>
        <v/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H13" s="34">
        <f t="shared" si="2"/>
        <v>0</v>
      </c>
      <c r="AI13" s="35">
        <f t="shared" si="3"/>
        <v>0</v>
      </c>
      <c r="AJ13" s="35">
        <f t="shared" si="4"/>
        <v>0</v>
      </c>
    </row>
    <row r="14" spans="1:36" x14ac:dyDescent="0.25">
      <c r="A14" s="32" t="str">
        <f>IF(Mitarbeitende!A14="","",Mitarbeitende!A14)</f>
        <v/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H14" s="34">
        <f t="shared" si="2"/>
        <v>0</v>
      </c>
      <c r="AI14" s="35">
        <f t="shared" si="3"/>
        <v>0</v>
      </c>
      <c r="AJ14" s="35">
        <f t="shared" si="4"/>
        <v>0</v>
      </c>
    </row>
    <row r="15" spans="1:36" x14ac:dyDescent="0.25">
      <c r="A15" s="32" t="str">
        <f>IF(Mitarbeitende!A15="","",Mitarbeitende!A15)</f>
        <v/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H15" s="34">
        <f t="shared" si="2"/>
        <v>0</v>
      </c>
      <c r="AI15" s="35">
        <f t="shared" si="3"/>
        <v>0</v>
      </c>
      <c r="AJ15" s="35">
        <f t="shared" si="4"/>
        <v>0</v>
      </c>
    </row>
    <row r="16" spans="1:36" x14ac:dyDescent="0.25">
      <c r="A16" s="32" t="str">
        <f>IF(Mitarbeitende!A16="","",Mitarbeitende!A16)</f>
        <v/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H16" s="34">
        <f t="shared" si="2"/>
        <v>0</v>
      </c>
      <c r="AI16" s="35">
        <f t="shared" si="3"/>
        <v>0</v>
      </c>
      <c r="AJ16" s="35">
        <f t="shared" si="4"/>
        <v>0</v>
      </c>
    </row>
    <row r="17" spans="1:36" x14ac:dyDescent="0.25">
      <c r="A17" s="32" t="str">
        <f>IF(Mitarbeitende!A17="","",Mitarbeitende!A17)</f>
        <v/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H17" s="34">
        <f t="shared" si="2"/>
        <v>0</v>
      </c>
      <c r="AI17" s="35">
        <f t="shared" si="3"/>
        <v>0</v>
      </c>
      <c r="AJ17" s="35">
        <f t="shared" si="4"/>
        <v>0</v>
      </c>
    </row>
    <row r="18" spans="1:36" x14ac:dyDescent="0.25">
      <c r="A18" s="32" t="str">
        <f>IF(Mitarbeitende!A18="","",Mitarbeitende!A18)</f>
        <v/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H18" s="34">
        <f t="shared" si="2"/>
        <v>0</v>
      </c>
      <c r="AI18" s="35">
        <f t="shared" si="3"/>
        <v>0</v>
      </c>
      <c r="AJ18" s="35">
        <f t="shared" si="4"/>
        <v>0</v>
      </c>
    </row>
    <row r="19" spans="1:36" x14ac:dyDescent="0.25">
      <c r="A19" s="32" t="str">
        <f>IF(Mitarbeitende!A19="","",Mitarbeitende!A19)</f>
        <v/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H19" s="34">
        <f t="shared" si="2"/>
        <v>0</v>
      </c>
      <c r="AI19" s="35">
        <f t="shared" si="3"/>
        <v>0</v>
      </c>
      <c r="AJ19" s="35">
        <f t="shared" si="4"/>
        <v>0</v>
      </c>
    </row>
    <row r="20" spans="1:36" x14ac:dyDescent="0.25">
      <c r="A20" s="32" t="str">
        <f>IF(Mitarbeitende!A20="","",Mitarbeitende!A20)</f>
        <v/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H20" s="34">
        <f t="shared" si="2"/>
        <v>0</v>
      </c>
      <c r="AI20" s="35">
        <f t="shared" si="3"/>
        <v>0</v>
      </c>
      <c r="AJ20" s="35">
        <f t="shared" si="4"/>
        <v>0</v>
      </c>
    </row>
    <row r="21" spans="1:36" x14ac:dyDescent="0.25">
      <c r="A21" s="32" t="str">
        <f>IF(Mitarbeitende!A21="","",Mitarbeitende!A21)</f>
        <v/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H21" s="34">
        <f t="shared" si="2"/>
        <v>0</v>
      </c>
      <c r="AI21" s="35">
        <f t="shared" si="3"/>
        <v>0</v>
      </c>
      <c r="AJ21" s="35">
        <f t="shared" si="4"/>
        <v>0</v>
      </c>
    </row>
    <row r="22" spans="1:36" x14ac:dyDescent="0.25">
      <c r="A22" s="32" t="str">
        <f>IF(Mitarbeitende!A22="","",Mitarbeitende!A22)</f>
        <v/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H22" s="34">
        <f t="shared" si="2"/>
        <v>0</v>
      </c>
      <c r="AI22" s="35">
        <f t="shared" si="3"/>
        <v>0</v>
      </c>
      <c r="AJ22" s="35">
        <f t="shared" si="4"/>
        <v>0</v>
      </c>
    </row>
    <row r="23" spans="1:36" x14ac:dyDescent="0.25">
      <c r="A23" s="32" t="str">
        <f>IF(Mitarbeitende!A23="","",Mitarbeitende!A23)</f>
        <v/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H23" s="34">
        <f t="shared" si="2"/>
        <v>0</v>
      </c>
      <c r="AI23" s="35">
        <f t="shared" si="3"/>
        <v>0</v>
      </c>
      <c r="AJ23" s="35">
        <f t="shared" si="4"/>
        <v>0</v>
      </c>
    </row>
    <row r="24" spans="1:36" x14ac:dyDescent="0.25">
      <c r="A24" s="32" t="str">
        <f>IF(Mitarbeitende!A24="","",Mitarbeitende!A24)</f>
        <v/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H24" s="34">
        <f t="shared" si="2"/>
        <v>0</v>
      </c>
      <c r="AI24" s="35">
        <f t="shared" si="3"/>
        <v>0</v>
      </c>
      <c r="AJ24" s="35">
        <f t="shared" si="4"/>
        <v>0</v>
      </c>
    </row>
    <row r="25" spans="1:36" x14ac:dyDescent="0.25">
      <c r="A25" s="32" t="str">
        <f>IF(Mitarbeitende!A25="","",Mitarbeitende!A25)</f>
        <v/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H25" s="34">
        <f t="shared" si="2"/>
        <v>0</v>
      </c>
      <c r="AI25" s="35">
        <f t="shared" si="3"/>
        <v>0</v>
      </c>
      <c r="AJ25" s="35">
        <f t="shared" si="4"/>
        <v>0</v>
      </c>
    </row>
    <row r="26" spans="1:36" x14ac:dyDescent="0.25">
      <c r="A26" s="32" t="str">
        <f>IF(Mitarbeitende!A26="","",Mitarbeitende!A26)</f>
        <v/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H26" s="34">
        <f t="shared" si="2"/>
        <v>0</v>
      </c>
      <c r="AI26" s="35">
        <f t="shared" si="3"/>
        <v>0</v>
      </c>
      <c r="AJ26" s="35">
        <f t="shared" si="4"/>
        <v>0</v>
      </c>
    </row>
    <row r="27" spans="1:36" x14ac:dyDescent="0.25">
      <c r="A27" s="32" t="str">
        <f>IF(Mitarbeitende!A27="","",Mitarbeitende!A27)</f>
        <v/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H27" s="34">
        <f t="shared" si="2"/>
        <v>0</v>
      </c>
      <c r="AI27" s="35">
        <f t="shared" si="3"/>
        <v>0</v>
      </c>
      <c r="AJ27" s="35">
        <f t="shared" si="4"/>
        <v>0</v>
      </c>
    </row>
    <row r="28" spans="1:36" x14ac:dyDescent="0.25">
      <c r="A28" s="32" t="str">
        <f>IF(Mitarbeitende!A28="","",Mitarbeitende!A28)</f>
        <v/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H28" s="34">
        <f t="shared" si="2"/>
        <v>0</v>
      </c>
      <c r="AI28" s="35">
        <f t="shared" si="3"/>
        <v>0</v>
      </c>
      <c r="AJ28" s="35">
        <f t="shared" si="4"/>
        <v>0</v>
      </c>
    </row>
    <row r="29" spans="1:36" x14ac:dyDescent="0.25">
      <c r="A29" s="32" t="str">
        <f>IF(Mitarbeitende!A29="","",Mitarbeitende!A29)</f>
        <v/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H29" s="34">
        <f t="shared" si="2"/>
        <v>0</v>
      </c>
      <c r="AI29" s="35">
        <f t="shared" si="3"/>
        <v>0</v>
      </c>
      <c r="AJ29" s="35">
        <f t="shared" si="4"/>
        <v>0</v>
      </c>
    </row>
    <row r="30" spans="1:36" x14ac:dyDescent="0.25">
      <c r="A30" s="32" t="str">
        <f>IF(Mitarbeitende!A30="","",Mitarbeitende!A30)</f>
        <v/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H30" s="34">
        <f t="shared" si="2"/>
        <v>0</v>
      </c>
      <c r="AI30" s="35">
        <f t="shared" si="3"/>
        <v>0</v>
      </c>
      <c r="AJ30" s="35">
        <f t="shared" si="4"/>
        <v>0</v>
      </c>
    </row>
    <row r="31" spans="1:36" x14ac:dyDescent="0.25">
      <c r="A31" s="32" t="str">
        <f>IF(Mitarbeitende!A31="","",Mitarbeitende!A31)</f>
        <v/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H31" s="34">
        <f t="shared" si="2"/>
        <v>0</v>
      </c>
      <c r="AI31" s="35">
        <f t="shared" si="3"/>
        <v>0</v>
      </c>
      <c r="AJ31" s="35">
        <f t="shared" si="4"/>
        <v>0</v>
      </c>
    </row>
    <row r="32" spans="1:36" x14ac:dyDescent="0.25">
      <c r="A32" s="32" t="str">
        <f>IF(Mitarbeitende!A32="","",Mitarbeitende!A32)</f>
        <v/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H32" s="34">
        <f t="shared" si="2"/>
        <v>0</v>
      </c>
      <c r="AI32" s="35">
        <f t="shared" si="3"/>
        <v>0</v>
      </c>
      <c r="AJ32" s="35">
        <f t="shared" si="4"/>
        <v>0</v>
      </c>
    </row>
    <row r="33" spans="1:36" x14ac:dyDescent="0.25">
      <c r="A33" s="32" t="str">
        <f>IF(Mitarbeitende!A33="","",Mitarbeitende!A33)</f>
        <v/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H33" s="34">
        <f t="shared" si="2"/>
        <v>0</v>
      </c>
      <c r="AI33" s="35">
        <f t="shared" si="3"/>
        <v>0</v>
      </c>
      <c r="AJ33" s="35">
        <f t="shared" si="4"/>
        <v>0</v>
      </c>
    </row>
    <row r="34" spans="1:36" x14ac:dyDescent="0.25">
      <c r="A34" s="32" t="str">
        <f>IF(Mitarbeitende!A34="","",Mitarbeitende!A34)</f>
        <v/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H34" s="34">
        <f t="shared" si="2"/>
        <v>0</v>
      </c>
      <c r="AI34" s="35">
        <f t="shared" si="3"/>
        <v>0</v>
      </c>
      <c r="AJ34" s="35">
        <f t="shared" si="4"/>
        <v>0</v>
      </c>
    </row>
    <row r="36" spans="1:36" x14ac:dyDescent="0.25">
      <c r="A36" s="17" t="str">
        <f>"Arbeitstage im Monat: "&amp;SUM(B2:AF2)</f>
        <v>Arbeitstage im Monat: 23</v>
      </c>
    </row>
    <row r="37" spans="1:36" x14ac:dyDescent="0.25">
      <c r="A37" s="17" t="s">
        <v>59</v>
      </c>
    </row>
  </sheetData>
  <conditionalFormatting sqref="B3:AF34">
    <cfRule type="expression" dxfId="9" priority="7">
      <formula>B$3=""</formula>
    </cfRule>
    <cfRule type="expression" dxfId="8" priority="8">
      <formula>AND(B$3&lt;&gt;"",COUNTIF(Feiertage_aktiv,B$3)&gt;0)</formula>
    </cfRule>
    <cfRule type="expression" dxfId="7" priority="9">
      <formula>AND(B$3&lt;&gt;"",WEEKDAY(B$3,2)&gt;5)</formula>
    </cfRule>
  </conditionalFormatting>
  <conditionalFormatting sqref="B5:AF34">
    <cfRule type="expression" dxfId="6" priority="1" stopIfTrue="1">
      <formula>UPPER(B5)="U"</formula>
    </cfRule>
    <cfRule type="expression" dxfId="5" priority="2" stopIfTrue="1">
      <formula>UPPER(B5)="H"</formula>
    </cfRule>
    <cfRule type="expression" dxfId="4" priority="3" stopIfTrue="1">
      <formula>UPPER(B5)="K"</formula>
    </cfRule>
    <cfRule type="expression" dxfId="3" priority="4" stopIfTrue="1">
      <formula>UPPER(B5)="S"</formula>
    </cfRule>
    <cfRule type="expression" dxfId="2" priority="5" stopIfTrue="1">
      <formula>UPPER(B5)="Z"</formula>
    </cfRule>
    <cfRule type="expression" dxfId="1" priority="6" stopIfTrue="1">
      <formula>UPPER(B5)="F"</formula>
    </cfRule>
  </conditionalFormatting>
  <dataValidations count="1">
    <dataValidation type="list" allowBlank="1" showErrorMessage="1" errorTitle="Kürzel" error="Bitte U, H, K, S, Z oder F eintragen." sqref="B5:AF34" xr:uid="{00000000-0002-0000-0D00-000000000000}">
      <formula1>"U,H,K,S,Z,F"</formula1>
    </dataValidation>
  </dataValidations>
  <pageMargins left="0.75" right="0.75" top="1" bottom="1" header="0.5" footer="0.5"/>
  <pageSetup fitToHeight="0" orientation="landscape"/>
  <headerFooter>
    <oddFooter>&amp;C&amp;8 &amp;K686E70Vorlage von seminaron.de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8A1F2B"/>
    <pageSetUpPr fitToPage="1"/>
  </sheetPr>
  <dimension ref="A1:U25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6" customWidth="1"/>
    <col min="2" max="2" width="12" customWidth="1"/>
    <col min="3" max="19" width="4.140625" customWidth="1"/>
    <col min="20" max="20" width="12" customWidth="1"/>
    <col min="21" max="21" width="60" customWidth="1"/>
  </cols>
  <sheetData>
    <row r="1" spans="1:21" ht="23.25" x14ac:dyDescent="0.35">
      <c r="A1" s="18" t="s">
        <v>60</v>
      </c>
    </row>
    <row r="2" spans="1:21" x14ac:dyDescent="0.25">
      <c r="A2" s="36" t="str">
        <f>"Gesetzliche Feiertage "&amp;Jahr&amp;", ausgewählt: "&amp;Bundesland</f>
        <v>Gesetzliche Feiertage 2027, ausgewählt: Nordrhein-Westfalen</v>
      </c>
    </row>
    <row r="3" spans="1:21" x14ac:dyDescent="0.25">
      <c r="A3" t="s">
        <v>61</v>
      </c>
      <c r="B3" s="37">
        <f>FLOOR(DATE(Jahr,5,DAY(MINUTE(Jahr/38)/2+56)),7)-34</f>
        <v>46474</v>
      </c>
    </row>
    <row r="4" spans="1:21" ht="120" customHeight="1" x14ac:dyDescent="0.25">
      <c r="A4" s="38" t="s">
        <v>62</v>
      </c>
      <c r="B4" s="38" t="s">
        <v>63</v>
      </c>
      <c r="C4" s="39" t="s">
        <v>64</v>
      </c>
      <c r="D4" s="39" t="s">
        <v>65</v>
      </c>
      <c r="E4" s="39" t="s">
        <v>66</v>
      </c>
      <c r="F4" s="39" t="s">
        <v>67</v>
      </c>
      <c r="G4" s="39" t="s">
        <v>68</v>
      </c>
      <c r="H4" s="39" t="s">
        <v>69</v>
      </c>
      <c r="I4" s="39" t="s">
        <v>70</v>
      </c>
      <c r="J4" s="39" t="s">
        <v>71</v>
      </c>
      <c r="K4" s="39" t="s">
        <v>72</v>
      </c>
      <c r="L4" s="39" t="s">
        <v>5</v>
      </c>
      <c r="M4" s="39" t="s">
        <v>73</v>
      </c>
      <c r="N4" s="39" t="s">
        <v>74</v>
      </c>
      <c r="O4" s="39" t="s">
        <v>75</v>
      </c>
      <c r="P4" s="39" t="s">
        <v>76</v>
      </c>
      <c r="Q4" s="39" t="s">
        <v>77</v>
      </c>
      <c r="R4" s="39" t="s">
        <v>78</v>
      </c>
      <c r="S4" s="39" t="s">
        <v>79</v>
      </c>
      <c r="T4" s="38" t="s">
        <v>80</v>
      </c>
      <c r="U4" s="38" t="s">
        <v>81</v>
      </c>
    </row>
    <row r="5" spans="1:21" x14ac:dyDescent="0.25">
      <c r="A5" s="32" t="s">
        <v>82</v>
      </c>
      <c r="B5" s="40">
        <f>DATE(Jahr,1,1)</f>
        <v>46388</v>
      </c>
      <c r="C5" s="41">
        <v>1</v>
      </c>
      <c r="D5" s="41">
        <v>1</v>
      </c>
      <c r="E5" s="41">
        <v>1</v>
      </c>
      <c r="F5" s="41">
        <v>1</v>
      </c>
      <c r="G5" s="41">
        <v>1</v>
      </c>
      <c r="H5" s="41">
        <v>1</v>
      </c>
      <c r="I5" s="41">
        <v>1</v>
      </c>
      <c r="J5" s="41">
        <v>1</v>
      </c>
      <c r="K5" s="41">
        <v>1</v>
      </c>
      <c r="L5" s="41">
        <v>1</v>
      </c>
      <c r="M5" s="41">
        <v>1</v>
      </c>
      <c r="N5" s="41">
        <v>1</v>
      </c>
      <c r="O5" s="41">
        <v>1</v>
      </c>
      <c r="P5" s="41">
        <v>1</v>
      </c>
      <c r="Q5" s="41">
        <v>1</v>
      </c>
      <c r="R5" s="41">
        <v>1</v>
      </c>
      <c r="S5" s="42">
        <v>0</v>
      </c>
      <c r="T5" s="40">
        <f t="shared" ref="T5:T23" si="0">IF(OR(INDEX(C5:R5,MATCH(Bundesland,$C$4:$R$4,0))=1,S5=1),B5,"")</f>
        <v>46388</v>
      </c>
      <c r="U5" s="43"/>
    </row>
    <row r="6" spans="1:21" x14ac:dyDescent="0.25">
      <c r="A6" s="32" t="s">
        <v>83</v>
      </c>
      <c r="B6" s="40">
        <f>DATE(Jahr,1,6)</f>
        <v>46393</v>
      </c>
      <c r="C6" s="41">
        <v>1</v>
      </c>
      <c r="D6" s="41">
        <v>1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1">
        <v>1</v>
      </c>
      <c r="Q6" s="44">
        <v>0</v>
      </c>
      <c r="R6" s="44">
        <v>0</v>
      </c>
      <c r="S6" s="42">
        <v>0</v>
      </c>
      <c r="T6" s="40" t="str">
        <f t="shared" si="0"/>
        <v/>
      </c>
      <c r="U6" s="43"/>
    </row>
    <row r="7" spans="1:21" x14ac:dyDescent="0.25">
      <c r="A7" s="32" t="s">
        <v>84</v>
      </c>
      <c r="B7" s="40">
        <f>DATE(Jahr,3,8)</f>
        <v>46454</v>
      </c>
      <c r="C7" s="44">
        <v>0</v>
      </c>
      <c r="D7" s="44">
        <v>0</v>
      </c>
      <c r="E7" s="41">
        <v>1</v>
      </c>
      <c r="F7" s="44">
        <v>0</v>
      </c>
      <c r="G7" s="44">
        <v>0</v>
      </c>
      <c r="H7" s="44">
        <v>0</v>
      </c>
      <c r="I7" s="44">
        <v>0</v>
      </c>
      <c r="J7" s="41">
        <v>1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2">
        <v>0</v>
      </c>
      <c r="T7" s="40" t="str">
        <f t="shared" si="0"/>
        <v/>
      </c>
      <c r="U7" s="43"/>
    </row>
    <row r="8" spans="1:21" x14ac:dyDescent="0.25">
      <c r="A8" s="32" t="s">
        <v>85</v>
      </c>
      <c r="B8" s="40">
        <f>$B$3-2</f>
        <v>46472</v>
      </c>
      <c r="C8" s="41">
        <v>1</v>
      </c>
      <c r="D8" s="41">
        <v>1</v>
      </c>
      <c r="E8" s="41">
        <v>1</v>
      </c>
      <c r="F8" s="41">
        <v>1</v>
      </c>
      <c r="G8" s="41">
        <v>1</v>
      </c>
      <c r="H8" s="41">
        <v>1</v>
      </c>
      <c r="I8" s="41">
        <v>1</v>
      </c>
      <c r="J8" s="41">
        <v>1</v>
      </c>
      <c r="K8" s="41">
        <v>1</v>
      </c>
      <c r="L8" s="41">
        <v>1</v>
      </c>
      <c r="M8" s="41">
        <v>1</v>
      </c>
      <c r="N8" s="41">
        <v>1</v>
      </c>
      <c r="O8" s="41">
        <v>1</v>
      </c>
      <c r="P8" s="41">
        <v>1</v>
      </c>
      <c r="Q8" s="41">
        <v>1</v>
      </c>
      <c r="R8" s="41">
        <v>1</v>
      </c>
      <c r="S8" s="42">
        <v>0</v>
      </c>
      <c r="T8" s="40">
        <f t="shared" si="0"/>
        <v>46472</v>
      </c>
      <c r="U8" s="43"/>
    </row>
    <row r="9" spans="1:21" x14ac:dyDescent="0.25">
      <c r="A9" s="32" t="s">
        <v>86</v>
      </c>
      <c r="B9" s="40">
        <f>$B$3+1</f>
        <v>46475</v>
      </c>
      <c r="C9" s="41">
        <v>1</v>
      </c>
      <c r="D9" s="41">
        <v>1</v>
      </c>
      <c r="E9" s="41">
        <v>1</v>
      </c>
      <c r="F9" s="41">
        <v>1</v>
      </c>
      <c r="G9" s="41">
        <v>1</v>
      </c>
      <c r="H9" s="41">
        <v>1</v>
      </c>
      <c r="I9" s="41">
        <v>1</v>
      </c>
      <c r="J9" s="41">
        <v>1</v>
      </c>
      <c r="K9" s="41">
        <v>1</v>
      </c>
      <c r="L9" s="41">
        <v>1</v>
      </c>
      <c r="M9" s="41">
        <v>1</v>
      </c>
      <c r="N9" s="41">
        <v>1</v>
      </c>
      <c r="O9" s="41">
        <v>1</v>
      </c>
      <c r="P9" s="41">
        <v>1</v>
      </c>
      <c r="Q9" s="41">
        <v>1</v>
      </c>
      <c r="R9" s="41">
        <v>1</v>
      </c>
      <c r="S9" s="42">
        <v>0</v>
      </c>
      <c r="T9" s="40">
        <f t="shared" si="0"/>
        <v>46475</v>
      </c>
      <c r="U9" s="43"/>
    </row>
    <row r="10" spans="1:21" x14ac:dyDescent="0.25">
      <c r="A10" s="32" t="s">
        <v>87</v>
      </c>
      <c r="B10" s="40">
        <f>DATE(Jahr,5,1)</f>
        <v>46508</v>
      </c>
      <c r="C10" s="41">
        <v>1</v>
      </c>
      <c r="D10" s="41">
        <v>1</v>
      </c>
      <c r="E10" s="41">
        <v>1</v>
      </c>
      <c r="F10" s="41">
        <v>1</v>
      </c>
      <c r="G10" s="41">
        <v>1</v>
      </c>
      <c r="H10" s="41">
        <v>1</v>
      </c>
      <c r="I10" s="41">
        <v>1</v>
      </c>
      <c r="J10" s="41">
        <v>1</v>
      </c>
      <c r="K10" s="41">
        <v>1</v>
      </c>
      <c r="L10" s="41">
        <v>1</v>
      </c>
      <c r="M10" s="41">
        <v>1</v>
      </c>
      <c r="N10" s="41">
        <v>1</v>
      </c>
      <c r="O10" s="41">
        <v>1</v>
      </c>
      <c r="P10" s="41">
        <v>1</v>
      </c>
      <c r="Q10" s="41">
        <v>1</v>
      </c>
      <c r="R10" s="41">
        <v>1</v>
      </c>
      <c r="S10" s="42">
        <v>0</v>
      </c>
      <c r="T10" s="40">
        <f t="shared" si="0"/>
        <v>46508</v>
      </c>
      <c r="U10" s="43"/>
    </row>
    <row r="11" spans="1:21" x14ac:dyDescent="0.25">
      <c r="A11" s="32" t="s">
        <v>88</v>
      </c>
      <c r="B11" s="40">
        <f>$B$3+39</f>
        <v>46513</v>
      </c>
      <c r="C11" s="41">
        <v>1</v>
      </c>
      <c r="D11" s="41">
        <v>1</v>
      </c>
      <c r="E11" s="41">
        <v>1</v>
      </c>
      <c r="F11" s="41">
        <v>1</v>
      </c>
      <c r="G11" s="41">
        <v>1</v>
      </c>
      <c r="H11" s="41">
        <v>1</v>
      </c>
      <c r="I11" s="41">
        <v>1</v>
      </c>
      <c r="J11" s="41">
        <v>1</v>
      </c>
      <c r="K11" s="41">
        <v>1</v>
      </c>
      <c r="L11" s="41">
        <v>1</v>
      </c>
      <c r="M11" s="41">
        <v>1</v>
      </c>
      <c r="N11" s="41">
        <v>1</v>
      </c>
      <c r="O11" s="41">
        <v>1</v>
      </c>
      <c r="P11" s="41">
        <v>1</v>
      </c>
      <c r="Q11" s="41">
        <v>1</v>
      </c>
      <c r="R11" s="41">
        <v>1</v>
      </c>
      <c r="S11" s="42">
        <v>0</v>
      </c>
      <c r="T11" s="40">
        <f t="shared" si="0"/>
        <v>46513</v>
      </c>
      <c r="U11" s="43"/>
    </row>
    <row r="12" spans="1:21" x14ac:dyDescent="0.25">
      <c r="A12" s="32" t="s">
        <v>89</v>
      </c>
      <c r="B12" s="40">
        <f>$B$3+50</f>
        <v>46524</v>
      </c>
      <c r="C12" s="41">
        <v>1</v>
      </c>
      <c r="D12" s="41">
        <v>1</v>
      </c>
      <c r="E12" s="41">
        <v>1</v>
      </c>
      <c r="F12" s="41">
        <v>1</v>
      </c>
      <c r="G12" s="41">
        <v>1</v>
      </c>
      <c r="H12" s="41">
        <v>1</v>
      </c>
      <c r="I12" s="41">
        <v>1</v>
      </c>
      <c r="J12" s="41">
        <v>1</v>
      </c>
      <c r="K12" s="41">
        <v>1</v>
      </c>
      <c r="L12" s="41">
        <v>1</v>
      </c>
      <c r="M12" s="41">
        <v>1</v>
      </c>
      <c r="N12" s="41">
        <v>1</v>
      </c>
      <c r="O12" s="41">
        <v>1</v>
      </c>
      <c r="P12" s="41">
        <v>1</v>
      </c>
      <c r="Q12" s="41">
        <v>1</v>
      </c>
      <c r="R12" s="41">
        <v>1</v>
      </c>
      <c r="S12" s="42">
        <v>0</v>
      </c>
      <c r="T12" s="40">
        <f t="shared" si="0"/>
        <v>46524</v>
      </c>
      <c r="U12" s="43"/>
    </row>
    <row r="13" spans="1:21" x14ac:dyDescent="0.25">
      <c r="A13" s="32" t="s">
        <v>90</v>
      </c>
      <c r="B13" s="40">
        <f>$B$3+60</f>
        <v>46534</v>
      </c>
      <c r="C13" s="41">
        <v>1</v>
      </c>
      <c r="D13" s="41">
        <v>1</v>
      </c>
      <c r="E13" s="44">
        <v>0</v>
      </c>
      <c r="F13" s="44">
        <v>0</v>
      </c>
      <c r="G13" s="44">
        <v>0</v>
      </c>
      <c r="H13" s="44">
        <v>0</v>
      </c>
      <c r="I13" s="41">
        <v>1</v>
      </c>
      <c r="J13" s="44">
        <v>0</v>
      </c>
      <c r="K13" s="44">
        <v>0</v>
      </c>
      <c r="L13" s="41">
        <v>1</v>
      </c>
      <c r="M13" s="41">
        <v>1</v>
      </c>
      <c r="N13" s="41">
        <v>1</v>
      </c>
      <c r="O13" s="44">
        <v>0</v>
      </c>
      <c r="P13" s="44">
        <v>0</v>
      </c>
      <c r="Q13" s="44">
        <v>0</v>
      </c>
      <c r="R13" s="44">
        <v>0</v>
      </c>
      <c r="S13" s="42">
        <v>0</v>
      </c>
      <c r="T13" s="40">
        <f t="shared" si="0"/>
        <v>46534</v>
      </c>
      <c r="U13" s="43" t="s">
        <v>91</v>
      </c>
    </row>
    <row r="14" spans="1:21" x14ac:dyDescent="0.25">
      <c r="A14" s="32" t="s">
        <v>92</v>
      </c>
      <c r="B14" s="40">
        <f>DATE(Jahr,8,15)</f>
        <v>46614</v>
      </c>
      <c r="C14" s="44">
        <v>0</v>
      </c>
      <c r="D14" s="41">
        <v>1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1">
        <v>1</v>
      </c>
      <c r="O14" s="44">
        <v>0</v>
      </c>
      <c r="P14" s="44">
        <v>0</v>
      </c>
      <c r="Q14" s="44">
        <v>0</v>
      </c>
      <c r="R14" s="44">
        <v>0</v>
      </c>
      <c r="S14" s="42">
        <v>0</v>
      </c>
      <c r="T14" s="40" t="str">
        <f t="shared" si="0"/>
        <v/>
      </c>
      <c r="U14" s="43" t="s">
        <v>93</v>
      </c>
    </row>
    <row r="15" spans="1:21" x14ac:dyDescent="0.25">
      <c r="A15" s="32" t="s">
        <v>94</v>
      </c>
      <c r="B15" s="40">
        <f>DATE(Jahr,9,20)</f>
        <v>46650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1">
        <v>1</v>
      </c>
      <c r="S15" s="42">
        <v>0</v>
      </c>
      <c r="T15" s="40" t="str">
        <f t="shared" si="0"/>
        <v/>
      </c>
      <c r="U15" s="43"/>
    </row>
    <row r="16" spans="1:21" x14ac:dyDescent="0.25">
      <c r="A16" s="32" t="s">
        <v>95</v>
      </c>
      <c r="B16" s="40">
        <f>DATE(Jahr,10,3)</f>
        <v>46663</v>
      </c>
      <c r="C16" s="41">
        <v>1</v>
      </c>
      <c r="D16" s="41">
        <v>1</v>
      </c>
      <c r="E16" s="41">
        <v>1</v>
      </c>
      <c r="F16" s="41">
        <v>1</v>
      </c>
      <c r="G16" s="41">
        <v>1</v>
      </c>
      <c r="H16" s="41">
        <v>1</v>
      </c>
      <c r="I16" s="41">
        <v>1</v>
      </c>
      <c r="J16" s="41">
        <v>1</v>
      </c>
      <c r="K16" s="41">
        <v>1</v>
      </c>
      <c r="L16" s="41">
        <v>1</v>
      </c>
      <c r="M16" s="41">
        <v>1</v>
      </c>
      <c r="N16" s="41">
        <v>1</v>
      </c>
      <c r="O16" s="41">
        <v>1</v>
      </c>
      <c r="P16" s="41">
        <v>1</v>
      </c>
      <c r="Q16" s="41">
        <v>1</v>
      </c>
      <c r="R16" s="41">
        <v>1</v>
      </c>
      <c r="S16" s="42">
        <v>0</v>
      </c>
      <c r="T16" s="40">
        <f t="shared" si="0"/>
        <v>46663</v>
      </c>
      <c r="U16" s="43"/>
    </row>
    <row r="17" spans="1:21" x14ac:dyDescent="0.25">
      <c r="A17" s="32" t="s">
        <v>96</v>
      </c>
      <c r="B17" s="40">
        <f>DATE(Jahr,10,31)</f>
        <v>46691</v>
      </c>
      <c r="C17" s="44">
        <v>0</v>
      </c>
      <c r="D17" s="44">
        <v>0</v>
      </c>
      <c r="E17" s="44">
        <v>0</v>
      </c>
      <c r="F17" s="41">
        <v>1</v>
      </c>
      <c r="G17" s="41">
        <v>1</v>
      </c>
      <c r="H17" s="41">
        <v>1</v>
      </c>
      <c r="I17" s="44">
        <v>0</v>
      </c>
      <c r="J17" s="41">
        <v>1</v>
      </c>
      <c r="K17" s="41">
        <v>1</v>
      </c>
      <c r="L17" s="44">
        <v>0</v>
      </c>
      <c r="M17" s="44">
        <v>0</v>
      </c>
      <c r="N17" s="44">
        <v>0</v>
      </c>
      <c r="O17" s="41">
        <v>1</v>
      </c>
      <c r="P17" s="41">
        <v>1</v>
      </c>
      <c r="Q17" s="41">
        <v>1</v>
      </c>
      <c r="R17" s="41">
        <v>1</v>
      </c>
      <c r="S17" s="42">
        <v>0</v>
      </c>
      <c r="T17" s="40" t="str">
        <f t="shared" si="0"/>
        <v/>
      </c>
      <c r="U17" s="43"/>
    </row>
    <row r="18" spans="1:21" x14ac:dyDescent="0.25">
      <c r="A18" s="32" t="s">
        <v>97</v>
      </c>
      <c r="B18" s="40">
        <f>DATE(Jahr,11,1)</f>
        <v>46692</v>
      </c>
      <c r="C18" s="41">
        <v>1</v>
      </c>
      <c r="D18" s="41">
        <v>1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1">
        <v>1</v>
      </c>
      <c r="M18" s="41">
        <v>1</v>
      </c>
      <c r="N18" s="41">
        <v>1</v>
      </c>
      <c r="O18" s="44">
        <v>0</v>
      </c>
      <c r="P18" s="44">
        <v>0</v>
      </c>
      <c r="Q18" s="44">
        <v>0</v>
      </c>
      <c r="R18" s="44">
        <v>0</v>
      </c>
      <c r="S18" s="42">
        <v>0</v>
      </c>
      <c r="T18" s="40">
        <f t="shared" si="0"/>
        <v>46692</v>
      </c>
      <c r="U18" s="43"/>
    </row>
    <row r="19" spans="1:21" x14ac:dyDescent="0.25">
      <c r="A19" s="32" t="s">
        <v>98</v>
      </c>
      <c r="B19" s="40">
        <f>DATE(Jahr,11,22)-MOD(WEEKDAY(DATE(Jahr,11,22),2)-3,7)</f>
        <v>46708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41">
        <v>1</v>
      </c>
      <c r="P19" s="44">
        <v>0</v>
      </c>
      <c r="Q19" s="44">
        <v>0</v>
      </c>
      <c r="R19" s="44">
        <v>0</v>
      </c>
      <c r="S19" s="42">
        <v>0</v>
      </c>
      <c r="T19" s="40" t="str">
        <f t="shared" si="0"/>
        <v/>
      </c>
      <c r="U19" s="43"/>
    </row>
    <row r="20" spans="1:21" x14ac:dyDescent="0.25">
      <c r="A20" s="32" t="s">
        <v>99</v>
      </c>
      <c r="B20" s="40">
        <f>DATE(Jahr,12,25)</f>
        <v>46746</v>
      </c>
      <c r="C20" s="41">
        <v>1</v>
      </c>
      <c r="D20" s="41">
        <v>1</v>
      </c>
      <c r="E20" s="41">
        <v>1</v>
      </c>
      <c r="F20" s="41">
        <v>1</v>
      </c>
      <c r="G20" s="41">
        <v>1</v>
      </c>
      <c r="H20" s="41">
        <v>1</v>
      </c>
      <c r="I20" s="41">
        <v>1</v>
      </c>
      <c r="J20" s="41">
        <v>1</v>
      </c>
      <c r="K20" s="41">
        <v>1</v>
      </c>
      <c r="L20" s="41">
        <v>1</v>
      </c>
      <c r="M20" s="41">
        <v>1</v>
      </c>
      <c r="N20" s="41">
        <v>1</v>
      </c>
      <c r="O20" s="41">
        <v>1</v>
      </c>
      <c r="P20" s="41">
        <v>1</v>
      </c>
      <c r="Q20" s="41">
        <v>1</v>
      </c>
      <c r="R20" s="41">
        <v>1</v>
      </c>
      <c r="S20" s="42">
        <v>0</v>
      </c>
      <c r="T20" s="40">
        <f t="shared" si="0"/>
        <v>46746</v>
      </c>
      <c r="U20" s="43"/>
    </row>
    <row r="21" spans="1:21" x14ac:dyDescent="0.25">
      <c r="A21" s="32" t="s">
        <v>100</v>
      </c>
      <c r="B21" s="40">
        <f>DATE(Jahr,12,26)</f>
        <v>46747</v>
      </c>
      <c r="C21" s="41">
        <v>1</v>
      </c>
      <c r="D21" s="41">
        <v>1</v>
      </c>
      <c r="E21" s="41">
        <v>1</v>
      </c>
      <c r="F21" s="41">
        <v>1</v>
      </c>
      <c r="G21" s="41">
        <v>1</v>
      </c>
      <c r="H21" s="41">
        <v>1</v>
      </c>
      <c r="I21" s="41">
        <v>1</v>
      </c>
      <c r="J21" s="41">
        <v>1</v>
      </c>
      <c r="K21" s="41">
        <v>1</v>
      </c>
      <c r="L21" s="41">
        <v>1</v>
      </c>
      <c r="M21" s="41">
        <v>1</v>
      </c>
      <c r="N21" s="41">
        <v>1</v>
      </c>
      <c r="O21" s="41">
        <v>1</v>
      </c>
      <c r="P21" s="41">
        <v>1</v>
      </c>
      <c r="Q21" s="41">
        <v>1</v>
      </c>
      <c r="R21" s="41">
        <v>1</v>
      </c>
      <c r="S21" s="42">
        <v>0</v>
      </c>
      <c r="T21" s="40">
        <f t="shared" si="0"/>
        <v>46747</v>
      </c>
      <c r="U21" s="43"/>
    </row>
    <row r="22" spans="1:21" x14ac:dyDescent="0.25">
      <c r="A22" s="32" t="s">
        <v>101</v>
      </c>
      <c r="B22" s="40">
        <f>DATE(Jahr,12,24)</f>
        <v>46745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2">
        <v>0</v>
      </c>
      <c r="T22" s="40" t="str">
        <f t="shared" si="0"/>
        <v/>
      </c>
      <c r="U22" s="43" t="s">
        <v>102</v>
      </c>
    </row>
    <row r="23" spans="1:21" x14ac:dyDescent="0.25">
      <c r="A23" s="32" t="s">
        <v>103</v>
      </c>
      <c r="B23" s="40">
        <f>DATE(Jahr,12,31)</f>
        <v>46752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2">
        <v>0</v>
      </c>
      <c r="T23" s="40" t="str">
        <f t="shared" si="0"/>
        <v/>
      </c>
      <c r="U23" s="43" t="s">
        <v>102</v>
      </c>
    </row>
    <row r="25" spans="1:21" x14ac:dyDescent="0.25">
      <c r="A25" s="24" t="s">
        <v>104</v>
      </c>
    </row>
  </sheetData>
  <conditionalFormatting sqref="C5:S23">
    <cfRule type="expression" dxfId="0" priority="1">
      <formula>C5=1</formula>
    </cfRule>
  </conditionalFormatting>
  <pageMargins left="0.75" right="0.75" top="1" bottom="1" header="0.5" footer="0.5"/>
  <pageSetup orientation="landscape"/>
  <headerFooter>
    <oddFooter>&amp;C&amp;8 &amp;K686E70Vorlage von seminaron.de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17</vt:i4>
      </vt:variant>
    </vt:vector>
  </HeadingPairs>
  <TitlesOfParts>
    <vt:vector size="32" baseType="lpstr">
      <vt:lpstr>Start</vt:lpstr>
      <vt:lpstr>Mitarbeitende</vt:lpstr>
      <vt:lpstr>Jan</vt:lpstr>
      <vt:lpstr>Feb</vt:lpstr>
      <vt:lpstr>Mär</vt:lpstr>
      <vt:lpstr>Apr</vt:lpstr>
      <vt:lpstr>Mai</vt:lpstr>
      <vt:lpstr>Jun</vt:lpstr>
      <vt:lpstr>Jul</vt:lpstr>
      <vt:lpstr>Aug</vt:lpstr>
      <vt:lpstr>Sep</vt:lpstr>
      <vt:lpstr>Okt</vt:lpstr>
      <vt:lpstr>Nov</vt:lpstr>
      <vt:lpstr>Dez</vt:lpstr>
      <vt:lpstr>Feiertage</vt:lpstr>
      <vt:lpstr>Bundesland</vt:lpstr>
      <vt:lpstr>Apr!Drucktitel</vt:lpstr>
      <vt:lpstr>Aug!Drucktitel</vt:lpstr>
      <vt:lpstr>Dez!Drucktitel</vt:lpstr>
      <vt:lpstr>Feb!Drucktitel</vt:lpstr>
      <vt:lpstr>Jan!Drucktitel</vt:lpstr>
      <vt:lpstr>Jul!Drucktitel</vt:lpstr>
      <vt:lpstr>Jun!Drucktitel</vt:lpstr>
      <vt:lpstr>Mai!Drucktitel</vt:lpstr>
      <vt:lpstr>Mär!Drucktitel</vt:lpstr>
      <vt:lpstr>Mitarbeitende!Drucktitel</vt:lpstr>
      <vt:lpstr>Nov!Drucktitel</vt:lpstr>
      <vt:lpstr>Okt!Drucktitel</vt:lpstr>
      <vt:lpstr>Sep!Drucktitel</vt:lpstr>
      <vt:lpstr>Feiertage_aktiv</vt:lpstr>
      <vt:lpstr>Firma</vt:lpstr>
      <vt:lpstr>Jahr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Urlaubsplaner 2027 (Excel-Vorlage)</dc:title>
  <dc:creator>SEMINARON</dc:creator>
  <cp:keywords>Urlaubsplaner, Excel, Vorlage, 2027, Feiertage, Bundesland</cp:keywords>
  <cp:lastModifiedBy>SEMINARON</cp:lastModifiedBy>
  <dcterms:created xsi:type="dcterms:W3CDTF">2026-10-07T13:33:12Z</dcterms:created>
  <dcterms:modified xsi:type="dcterms:W3CDTF">2026-10-07T13:33:17Z</dcterms:modified>
</cp:coreProperties>
</file>